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C:\..SALVATAGGI COMPLETI\76.Salvataggi 02.01.2026\8. PRATICHE IN CORSO GENERALE\Vecchiano\1 EDICOLA\PEF + RELAZIONE\"/>
    </mc:Choice>
  </mc:AlternateContent>
  <xr:revisionPtr revIDLastSave="0" documentId="13_ncr:1_{27A8D211-4456-405E-9E4E-32E688E9132E}" xr6:coauthVersionLast="47" xr6:coauthVersionMax="47" xr10:uidLastSave="{00000000-0000-0000-0000-000000000000}"/>
  <bookViews>
    <workbookView xWindow="-108" yWindow="-108" windowWidth="23256" windowHeight="12456" xr2:uid="{940D49A3-D8E5-4CC9-A14F-DAD98453B7F2}"/>
  </bookViews>
  <sheets>
    <sheet name="Input" sheetId="3" r:id="rId1"/>
    <sheet name="PEF_dettagliato" sheetId="2" r:id="rId2"/>
    <sheet name="Output" sheetId="4" r:id="rId3"/>
  </sheets>
  <definedNames>
    <definedName name="_xlnm.Print_Area" localSheetId="0">Input!$A$1:$I$31</definedName>
    <definedName name="_xlnm.Print_Area" localSheetId="1">PEF_dettagliato!$A$1:$I$65</definedName>
    <definedName name="CtrICS">!#REF!</definedName>
    <definedName name="CtrICSEffettivo">!#REF!</definedName>
    <definedName name="CtrScad">!#REF!</definedName>
    <definedName name="Durata">!#REF!</definedName>
    <definedName name="Periodicità">!#REF!</definedName>
    <definedName name="RataCtr">!#REF!</definedName>
    <definedName name="RataLorda">!#REF!</definedName>
    <definedName name="Tasso">!#REF!</definedName>
    <definedName name="_xlnm.Print_Titles" localSheetId="0">Input!$A:$C</definedName>
    <definedName name="_xlnm.Print_Titles" localSheetId="1">PEF_dettagliato!$A:$C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E29" i="3"/>
  <c r="E28" i="3"/>
  <c r="F28" i="3" s="1"/>
  <c r="G28" i="3" s="1"/>
  <c r="H28" i="3" s="1"/>
  <c r="I28" i="3" s="1"/>
  <c r="E27" i="3"/>
  <c r="F27" i="3" s="1"/>
  <c r="G27" i="3" s="1"/>
  <c r="H27" i="3" s="1"/>
  <c r="I27" i="3" s="1"/>
  <c r="E26" i="3"/>
  <c r="F26" i="3" s="1"/>
  <c r="G26" i="3" s="1"/>
  <c r="H26" i="3" s="1"/>
  <c r="I26" i="3" s="1"/>
  <c r="E25" i="3"/>
  <c r="F25" i="3" s="1"/>
  <c r="G25" i="3" s="1"/>
  <c r="H25" i="3" s="1"/>
  <c r="I25" i="3" s="1"/>
  <c r="E24" i="3"/>
  <c r="F24" i="3" s="1"/>
  <c r="G24" i="3" s="1"/>
  <c r="H24" i="3" s="1"/>
  <c r="I24" i="3" s="1"/>
  <c r="E23" i="3"/>
  <c r="F23" i="3" s="1"/>
  <c r="G23" i="3" s="1"/>
  <c r="H23" i="3" s="1"/>
  <c r="I23" i="3" s="1"/>
  <c r="E22" i="3"/>
  <c r="F22" i="3" s="1"/>
  <c r="G22" i="3" s="1"/>
  <c r="H22" i="3" s="1"/>
  <c r="I22" i="3" s="1"/>
  <c r="E21" i="3"/>
  <c r="F21" i="3" s="1"/>
  <c r="G21" i="3" s="1"/>
  <c r="H21" i="3" s="1"/>
  <c r="I21" i="3" s="1"/>
  <c r="E20" i="3"/>
  <c r="F20" i="3" s="1"/>
  <c r="G20" i="3" s="1"/>
  <c r="H20" i="3" s="1"/>
  <c r="I20" i="3" s="1"/>
  <c r="E19" i="3"/>
  <c r="F19" i="3" s="1"/>
  <c r="G19" i="3" s="1"/>
  <c r="H19" i="3" s="1"/>
  <c r="I19" i="3" s="1"/>
  <c r="F11" i="3"/>
  <c r="G11" i="3" s="1"/>
  <c r="H11" i="3" s="1"/>
  <c r="I11" i="3" s="1"/>
  <c r="F10" i="3"/>
  <c r="G10" i="3" s="1"/>
  <c r="H10" i="3" s="1"/>
  <c r="I10" i="3" s="1"/>
  <c r="F9" i="3"/>
  <c r="G9" i="3" s="1"/>
  <c r="H9" i="3" s="1"/>
  <c r="I9" i="3" s="1"/>
  <c r="E13" i="3"/>
  <c r="E12" i="3"/>
  <c r="F12" i="3" s="1"/>
  <c r="G12" i="3" s="1"/>
  <c r="H12" i="3" s="1"/>
  <c r="I12" i="3" s="1"/>
  <c r="E11" i="3"/>
  <c r="E10" i="3"/>
  <c r="E9" i="3"/>
  <c r="E8" i="3"/>
  <c r="F8" i="3" s="1"/>
  <c r="G8" i="3" s="1"/>
  <c r="H8" i="3" s="1"/>
  <c r="I8" i="3" s="1"/>
  <c r="E7" i="3"/>
  <c r="F7" i="3" s="1"/>
  <c r="G7" i="3" s="1"/>
  <c r="H7" i="3" s="1"/>
  <c r="I7" i="3" s="1"/>
  <c r="E6" i="3"/>
  <c r="F6" i="3" s="1"/>
  <c r="G6" i="3" s="1"/>
  <c r="H6" i="3" s="1"/>
  <c r="I6" i="3" s="1"/>
  <c r="E5" i="3"/>
  <c r="F5" i="3" s="1"/>
  <c r="G5" i="3" s="1"/>
  <c r="H5" i="3" s="1"/>
  <c r="I5" i="3" s="1"/>
  <c r="E4" i="3"/>
  <c r="F4" i="3" s="1"/>
  <c r="G4" i="3" s="1"/>
  <c r="H4" i="3" s="1"/>
  <c r="I4" i="3" s="1"/>
  <c r="E3" i="3"/>
  <c r="F3" i="3" s="1"/>
  <c r="G3" i="3" s="1"/>
  <c r="E4" i="2"/>
  <c r="F4" i="2" s="1"/>
  <c r="G4" i="2" s="1"/>
  <c r="H4" i="2" s="1"/>
  <c r="I4" i="2" s="1"/>
  <c r="D19" i="2" l="1"/>
  <c r="D60" i="2"/>
  <c r="E60" i="2" s="1"/>
  <c r="F60" i="2" s="1"/>
  <c r="G60" i="2" s="1"/>
  <c r="H60" i="2" s="1"/>
  <c r="I60" i="2" s="1"/>
  <c r="E23" i="2"/>
  <c r="D23" i="2"/>
  <c r="D56" i="2"/>
  <c r="D61" i="2"/>
  <c r="C18" i="3"/>
  <c r="H3" i="3"/>
  <c r="I3" i="3" s="1"/>
  <c r="I10" i="2"/>
  <c r="H10" i="2"/>
  <c r="G10" i="2"/>
  <c r="F10" i="2"/>
  <c r="E10" i="2"/>
  <c r="D10" i="2"/>
  <c r="E18" i="3" l="1"/>
  <c r="F18" i="3" s="1"/>
  <c r="G18" i="3" s="1"/>
  <c r="H18" i="3" s="1"/>
  <c r="I18" i="3" s="1"/>
  <c r="C21" i="3"/>
  <c r="D30" i="3"/>
  <c r="D5" i="2" s="1"/>
  <c r="E17" i="3"/>
  <c r="F17" i="3" s="1"/>
  <c r="G17" i="3" s="1"/>
  <c r="H17" i="3" s="1"/>
  <c r="I17" i="3" s="1"/>
  <c r="D14" i="3"/>
  <c r="D2" i="2" s="1"/>
  <c r="D38" i="2" s="1"/>
  <c r="F13" i="3"/>
  <c r="G13" i="3" s="1"/>
  <c r="H13" i="3" s="1"/>
  <c r="E2" i="3"/>
  <c r="F2" i="3" s="1"/>
  <c r="G2" i="3" s="1"/>
  <c r="H2" i="3" s="1"/>
  <c r="I2" i="3" s="1"/>
  <c r="I69" i="2"/>
  <c r="H69" i="2"/>
  <c r="G69" i="2"/>
  <c r="F69" i="2"/>
  <c r="E69" i="2"/>
  <c r="D69" i="2"/>
  <c r="D70" i="2" s="1"/>
  <c r="I39" i="2"/>
  <c r="H39" i="2"/>
  <c r="G39" i="2"/>
  <c r="F39" i="2"/>
  <c r="E39" i="2"/>
  <c r="D39" i="2"/>
  <c r="D41" i="2"/>
  <c r="C9" i="2"/>
  <c r="C19" i="2"/>
  <c r="C68" i="2" s="1"/>
  <c r="F68" i="2" s="1"/>
  <c r="C17" i="2"/>
  <c r="C3" i="2"/>
  <c r="I23" i="2"/>
  <c r="H23" i="2"/>
  <c r="G23" i="2"/>
  <c r="F23" i="2"/>
  <c r="D22" i="2"/>
  <c r="C8" i="2"/>
  <c r="I18" i="2"/>
  <c r="H18" i="2"/>
  <c r="G18" i="2"/>
  <c r="F18" i="2"/>
  <c r="E18" i="2"/>
  <c r="D18" i="2"/>
  <c r="C7" i="2"/>
  <c r="A21" i="2"/>
  <c r="I1" i="2"/>
  <c r="I28" i="2" s="1"/>
  <c r="H1" i="2"/>
  <c r="H28" i="2" s="1"/>
  <c r="G1" i="2"/>
  <c r="G28" i="2" s="1"/>
  <c r="F1" i="2"/>
  <c r="F28" i="2" s="1"/>
  <c r="D1" i="2"/>
  <c r="D28" i="2" s="1"/>
  <c r="C29" i="2" l="1"/>
  <c r="C31" i="2" s="1"/>
  <c r="E41" i="2"/>
  <c r="F41" i="2"/>
  <c r="E68" i="2"/>
  <c r="C22" i="3"/>
  <c r="C4" i="2"/>
  <c r="G41" i="2"/>
  <c r="C23" i="3"/>
  <c r="C24" i="3"/>
  <c r="H41" i="2"/>
  <c r="I41" i="2"/>
  <c r="C26" i="3"/>
  <c r="C20" i="3"/>
  <c r="D6" i="2"/>
  <c r="I68" i="2"/>
  <c r="H68" i="2"/>
  <c r="G68" i="2"/>
  <c r="I45" i="2"/>
  <c r="H45" i="2"/>
  <c r="G45" i="2"/>
  <c r="F45" i="2"/>
  <c r="E45" i="2"/>
  <c r="H44" i="2"/>
  <c r="G44" i="2"/>
  <c r="F44" i="2"/>
  <c r="E44" i="2"/>
  <c r="E56" i="2" s="1"/>
  <c r="I44" i="2"/>
  <c r="D73" i="2"/>
  <c r="D72" i="2"/>
  <c r="D40" i="2"/>
  <c r="E30" i="3"/>
  <c r="E5" i="2" s="1"/>
  <c r="D15" i="3"/>
  <c r="D11" i="2" s="1"/>
  <c r="D31" i="3"/>
  <c r="D12" i="2" s="1"/>
  <c r="G29" i="3"/>
  <c r="H29" i="3" s="1"/>
  <c r="I29" i="3" s="1"/>
  <c r="I13" i="3"/>
  <c r="E14" i="3"/>
  <c r="E2" i="2" s="1"/>
  <c r="E38" i="2" s="1"/>
  <c r="C7" i="3"/>
  <c r="C11" i="3"/>
  <c r="C39" i="2"/>
  <c r="C23" i="2"/>
  <c r="C18" i="2"/>
  <c r="D30" i="2" l="1"/>
  <c r="E30" i="2" s="1"/>
  <c r="F30" i="2" s="1"/>
  <c r="G30" i="2" s="1"/>
  <c r="H30" i="2" s="1"/>
  <c r="I30" i="2" s="1"/>
  <c r="C41" i="2"/>
  <c r="F56" i="2"/>
  <c r="G56" i="2" s="1"/>
  <c r="H56" i="2" s="1"/>
  <c r="I56" i="2" s="1"/>
  <c r="E61" i="2"/>
  <c r="F61" i="2" s="1"/>
  <c r="G61" i="2" s="1"/>
  <c r="H61" i="2" s="1"/>
  <c r="I61" i="2" s="1"/>
  <c r="C45" i="2"/>
  <c r="F14" i="3"/>
  <c r="E70" i="2"/>
  <c r="D64" i="2"/>
  <c r="D13" i="2"/>
  <c r="D14" i="2" s="1"/>
  <c r="E31" i="3"/>
  <c r="E15" i="3"/>
  <c r="E11" i="2" s="1"/>
  <c r="C5" i="3"/>
  <c r="F30" i="3"/>
  <c r="F5" i="2" s="1"/>
  <c r="C27" i="3"/>
  <c r="C29" i="3"/>
  <c r="C28" i="3"/>
  <c r="C6" i="3"/>
  <c r="C10" i="3"/>
  <c r="C13" i="3"/>
  <c r="C12" i="3"/>
  <c r="C8" i="3"/>
  <c r="C9" i="3"/>
  <c r="E40" i="2"/>
  <c r="D47" i="2"/>
  <c r="D21" i="2"/>
  <c r="C25" i="3" l="1"/>
  <c r="E72" i="2"/>
  <c r="E71" i="2" s="1"/>
  <c r="E73" i="2" s="1"/>
  <c r="F15" i="3"/>
  <c r="F11" i="2" s="1"/>
  <c r="F2" i="2"/>
  <c r="F38" i="2" s="1"/>
  <c r="F40" i="2" s="1"/>
  <c r="G14" i="3"/>
  <c r="G2" i="2" s="1"/>
  <c r="G38" i="2" s="1"/>
  <c r="E12" i="2"/>
  <c r="E13" i="2" s="1"/>
  <c r="E14" i="2" s="1"/>
  <c r="D42" i="2"/>
  <c r="F31" i="3"/>
  <c r="G30" i="3"/>
  <c r="G5" i="2" s="1"/>
  <c r="H14" i="3"/>
  <c r="H2" i="2" s="1"/>
  <c r="G15" i="3" l="1"/>
  <c r="G11" i="2" s="1"/>
  <c r="E47" i="2"/>
  <c r="H30" i="3"/>
  <c r="F12" i="2"/>
  <c r="F13" i="2" s="1"/>
  <c r="F14" i="2" s="1"/>
  <c r="E21" i="2"/>
  <c r="E42" i="2"/>
  <c r="E6" i="2"/>
  <c r="D43" i="2"/>
  <c r="D46" i="2" s="1"/>
  <c r="G31" i="3"/>
  <c r="H38" i="2"/>
  <c r="H15" i="3"/>
  <c r="I14" i="3"/>
  <c r="I2" i="2" s="1"/>
  <c r="G40" i="2"/>
  <c r="D48" i="2" l="1"/>
  <c r="D49" i="2" s="1"/>
  <c r="D50" i="2"/>
  <c r="E22" i="2"/>
  <c r="H31" i="3"/>
  <c r="H12" i="2" s="1"/>
  <c r="H5" i="2"/>
  <c r="H6" i="2" s="1"/>
  <c r="I30" i="3"/>
  <c r="I5" i="2" s="1"/>
  <c r="H11" i="2"/>
  <c r="G12" i="2"/>
  <c r="G13" i="2" s="1"/>
  <c r="F6" i="2"/>
  <c r="F42" i="2"/>
  <c r="E43" i="2"/>
  <c r="E46" i="2" s="1"/>
  <c r="I15" i="3"/>
  <c r="I11" i="2" s="1"/>
  <c r="H40" i="2"/>
  <c r="E48" i="2" l="1"/>
  <c r="E49" i="2" s="1"/>
  <c r="E50" i="2"/>
  <c r="I31" i="3"/>
  <c r="I12" i="2" s="1"/>
  <c r="D15" i="2"/>
  <c r="D16" i="2" s="1"/>
  <c r="F70" i="2"/>
  <c r="E64" i="2"/>
  <c r="D51" i="2"/>
  <c r="D62" i="2" s="1"/>
  <c r="D65" i="2" s="1"/>
  <c r="H42" i="2"/>
  <c r="H43" i="2" s="1"/>
  <c r="H46" i="2" s="1"/>
  <c r="H50" i="2" s="1"/>
  <c r="H13" i="2"/>
  <c r="I6" i="2"/>
  <c r="G42" i="2"/>
  <c r="G6" i="2"/>
  <c r="F43" i="2"/>
  <c r="F46" i="2" s="1"/>
  <c r="F50" i="2" s="1"/>
  <c r="I38" i="2"/>
  <c r="I40" i="2" s="1"/>
  <c r="D29" i="2" l="1"/>
  <c r="D20" i="2"/>
  <c r="D24" i="2" s="1"/>
  <c r="D25" i="2" s="1"/>
  <c r="E51" i="2"/>
  <c r="E62" i="2" s="1"/>
  <c r="E65" i="2" s="1"/>
  <c r="E15" i="2"/>
  <c r="E16" i="2" s="1"/>
  <c r="F72" i="2"/>
  <c r="I42" i="2"/>
  <c r="I43" i="2" s="1"/>
  <c r="I46" i="2" s="1"/>
  <c r="I50" i="2" s="1"/>
  <c r="I13" i="2"/>
  <c r="G43" i="2"/>
  <c r="G46" i="2" s="1"/>
  <c r="G50" i="2" s="1"/>
  <c r="D31" i="2" l="1"/>
  <c r="E29" i="2"/>
  <c r="E31" i="2" s="1"/>
  <c r="E20" i="2"/>
  <c r="F71" i="2"/>
  <c r="F47" i="2"/>
  <c r="F48" i="2" s="1"/>
  <c r="F21" i="2"/>
  <c r="D32" i="2" l="1"/>
  <c r="E32" i="2"/>
  <c r="F49" i="2"/>
  <c r="F22" i="2"/>
  <c r="F73" i="2"/>
  <c r="F15" i="2" l="1"/>
  <c r="F16" i="2" s="1"/>
  <c r="F64" i="2"/>
  <c r="G70" i="2"/>
  <c r="F51" i="2"/>
  <c r="F62" i="2" s="1"/>
  <c r="F29" i="2" l="1"/>
  <c r="F65" i="2"/>
  <c r="G72" i="2"/>
  <c r="F31" i="2" l="1"/>
  <c r="F32" i="2" s="1"/>
  <c r="G71" i="2"/>
  <c r="G47" i="2"/>
  <c r="G48" i="2" s="1"/>
  <c r="G21" i="2"/>
  <c r="C19" i="3"/>
  <c r="C4" i="3"/>
  <c r="C14" i="3" s="1"/>
  <c r="C44" i="2"/>
  <c r="G49" i="2" l="1"/>
  <c r="G22" i="2"/>
  <c r="G73" i="2"/>
  <c r="C30" i="3"/>
  <c r="G15" i="2" l="1"/>
  <c r="G51" i="2"/>
  <c r="G62" i="2" s="1"/>
  <c r="G64" i="2"/>
  <c r="H70" i="2"/>
  <c r="C5" i="2"/>
  <c r="C2" i="2"/>
  <c r="G65" i="2" l="1"/>
  <c r="H72" i="2"/>
  <c r="C6" i="2"/>
  <c r="C38" i="2"/>
  <c r="H71" i="2" l="1"/>
  <c r="H47" i="2"/>
  <c r="H48" i="2" s="1"/>
  <c r="H21" i="2"/>
  <c r="C42" i="2"/>
  <c r="C46" i="2"/>
  <c r="D5" i="4" l="1"/>
  <c r="D4" i="4"/>
  <c r="H49" i="2"/>
  <c r="H22" i="2"/>
  <c r="H73" i="2"/>
  <c r="C43" i="2"/>
  <c r="C53" i="2" l="1"/>
  <c r="D3" i="4" s="1"/>
  <c r="D2" i="4"/>
  <c r="H15" i="2"/>
  <c r="I70" i="2"/>
  <c r="H64" i="2"/>
  <c r="H51" i="2"/>
  <c r="H62" i="2" s="1"/>
  <c r="H65" i="2" l="1"/>
  <c r="I72" i="2"/>
  <c r="I21" i="2" l="1"/>
  <c r="I47" i="2"/>
  <c r="I48" i="2" s="1"/>
  <c r="I71" i="2"/>
  <c r="I49" i="2" l="1"/>
  <c r="I22" i="2"/>
  <c r="I73" i="2"/>
  <c r="I15" i="2" l="1"/>
  <c r="I64" i="2"/>
  <c r="I51" i="2"/>
  <c r="I62" i="2" s="1"/>
  <c r="I65" i="2" l="1"/>
  <c r="D57" i="2" l="1"/>
  <c r="D58" i="2" l="1"/>
  <c r="D26" i="2" s="1"/>
  <c r="D59" i="2" l="1"/>
  <c r="E57" i="2"/>
  <c r="E58" i="2" s="1"/>
  <c r="E59" i="2" l="1"/>
  <c r="F57" i="2"/>
  <c r="F58" i="2" l="1"/>
  <c r="F59" i="2" s="1"/>
  <c r="G14" i="2"/>
  <c r="G16" i="2" s="1"/>
  <c r="G57" i="2"/>
  <c r="G58" i="2" s="1"/>
  <c r="G59" i="2" s="1"/>
  <c r="F20" i="2"/>
  <c r="F24" i="2" l="1"/>
  <c r="G29" i="2"/>
  <c r="E24" i="2"/>
  <c r="E25" i="2" s="1"/>
  <c r="E26" i="2" s="1"/>
  <c r="H14" i="2"/>
  <c r="H16" i="2" s="1"/>
  <c r="H57" i="2"/>
  <c r="H58" i="2" s="1"/>
  <c r="H59" i="2" s="1"/>
  <c r="G31" i="2" l="1"/>
  <c r="G32" i="2" s="1"/>
  <c r="H29" i="2"/>
  <c r="H31" i="2" s="1"/>
  <c r="F25" i="2"/>
  <c r="F26" i="2" s="1"/>
  <c r="H20" i="2"/>
  <c r="I14" i="2"/>
  <c r="I16" i="2" s="1"/>
  <c r="I57" i="2"/>
  <c r="I58" i="2" s="1"/>
  <c r="I59" i="2" s="1"/>
  <c r="G20" i="2"/>
  <c r="H24" i="2" l="1"/>
  <c r="H32" i="2"/>
  <c r="I29" i="2"/>
  <c r="G24" i="2"/>
  <c r="G25" i="2" s="1"/>
  <c r="G26" i="2" s="1"/>
  <c r="I20" i="2"/>
  <c r="I31" i="2" l="1"/>
  <c r="I32" i="2" s="1"/>
  <c r="C34" i="2"/>
  <c r="I24" i="2"/>
  <c r="H25" i="2"/>
  <c r="H26" i="2" s="1"/>
  <c r="C21" i="2"/>
  <c r="C35" i="2" l="1"/>
  <c r="D9" i="4" s="1"/>
  <c r="D8" i="4"/>
  <c r="I25" i="2"/>
  <c r="I26" i="2" s="1"/>
  <c r="C22" i="2"/>
  <c r="C47" i="2"/>
  <c r="C50" i="2" l="1"/>
  <c r="C48" i="2"/>
  <c r="C49" i="2" l="1"/>
  <c r="C15" i="2" l="1"/>
  <c r="C51" i="2"/>
  <c r="C52" i="2" l="1"/>
  <c r="D7" i="4" s="1"/>
  <c r="D6" i="4"/>
  <c r="C32" i="2" a="1"/>
  <c r="C32" i="2" s="1"/>
  <c r="C16" i="2" l="1"/>
  <c r="C20" i="2" l="1"/>
  <c r="C2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tc={F774B8CF-A944-4475-9E8E-80C053EAA654}</author>
    <author>tc={57B7A536-25A9-4A05-ACF2-7DC5C37E21BF}</author>
    <author>tc={7F773631-9623-48C3-8570-3D5D67E93567}</author>
  </authors>
  <commentList>
    <comment ref="B29" authorId="0" shapeId="0" xr:uid="{F774B8CF-A944-4475-9E8E-80C053EAA654}">
      <text>
        <r>
          <rPr>
            <sz val="12"/>
            <color rgb="FF000000"/>
            <rFont val="Calibri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FCFO riclassificato per mettere l’investimento nell’anno 0 e i flussi del progetto negli anni in cui si generano i costi e i ricavi di esercizio (impostazione utile per calcolare il DPBP)</t>
        </r>
      </text>
    </comment>
    <comment ref="B30" authorId="1" shapeId="0" xr:uid="{57B7A536-25A9-4A05-ACF2-7DC5C37E21BF}">
      <text>
        <r>
          <rPr>
            <sz val="12"/>
            <color rgb="FF000000"/>
            <rFont val="Calibri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Coefficiente di attualizzazione che riflette il costo del denaro nel tempo (WACC)</t>
        </r>
      </text>
    </comment>
    <comment ref="B31" authorId="2" shapeId="0" xr:uid="{7F773631-9623-48C3-8570-3D5D67E93567}">
      <text>
        <r>
          <rPr>
            <sz val="12"/>
            <color rgb="FF000000"/>
            <rFont val="Calibri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FCFO attualizzati al costo del denaro (WACC). Essi rappresentano il valore dei flussi di cassa del progetto nel momento attuale di valutazione per l’investitore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<sst xmlns="http://schemas.openxmlformats.org/spreadsheetml/2006/main" count="128" uniqueCount="101">
  <si>
    <t>RICAVI NON RIVALUTATI</t>
  </si>
  <si>
    <t>Totale</t>
  </si>
  <si>
    <t>IVA</t>
  </si>
  <si>
    <t>Rivalutazione ISTAT</t>
  </si>
  <si>
    <t>Ricavi commerciali</t>
  </si>
  <si>
    <t>Ricavi commerciali da eventi prodotti e attività</t>
  </si>
  <si>
    <t>Affitto spazi</t>
  </si>
  <si>
    <t>Altri incassi</t>
  </si>
  <si>
    <t xml:space="preserve"> </t>
  </si>
  <si>
    <t>TOTALE RICAVI DI GESTIONE</t>
  </si>
  <si>
    <t>% IVA MEDIA SU RICAVI</t>
  </si>
  <si>
    <t>COSTI NON RIVALUTATI</t>
  </si>
  <si>
    <t>Costi del personale (lordo oneri sociali e TFR)</t>
  </si>
  <si>
    <t>Costi per attività commerciali</t>
  </si>
  <si>
    <t>Produzione attività ed eventi</t>
  </si>
  <si>
    <t>Utenze</t>
  </si>
  <si>
    <t>Assicurazioni, tasse e imposte</t>
  </si>
  <si>
    <t>Pulizie, manutenzioni, danni e rotture</t>
  </si>
  <si>
    <t>Costi amministrativi</t>
  </si>
  <si>
    <t>Varie ed eventuali</t>
  </si>
  <si>
    <t xml:space="preserve">TOTALE COSTI DI GESTIONE </t>
  </si>
  <si>
    <t>% IVA MEDIA SU COSTI</t>
  </si>
  <si>
    <t>FLUSSO DI CASSA PREVISIONALE</t>
  </si>
  <si>
    <t>(+) Ricavi di gestione</t>
  </si>
  <si>
    <t>(+) Contributo in conto gestione</t>
  </si>
  <si>
    <t>(-) Canone di concessione</t>
  </si>
  <si>
    <t>(-) Costi operativi</t>
  </si>
  <si>
    <t>Flusso circolante della gestione corrente (EBITDA)</t>
  </si>
  <si>
    <t xml:space="preserve">(-) Investimenti per la manutenzione straordinaria programmata </t>
  </si>
  <si>
    <t>(+) Contributo pubblico in conto capitale</t>
  </si>
  <si>
    <t>(-) Credito verso erario (IVA investimento)</t>
  </si>
  <si>
    <t>(+) Debito verso Erario (IVA)</t>
  </si>
  <si>
    <t>(+) Credito verso Erario (IVA)</t>
  </si>
  <si>
    <t>(=) Netto IVA a Credito</t>
  </si>
  <si>
    <t>(+/-) Variazione IVA a credito</t>
  </si>
  <si>
    <t>(-) Imposte sul reddito netto</t>
  </si>
  <si>
    <t>(=) Flusso di cassa operativo (FCFO)</t>
  </si>
  <si>
    <t>(+) Capitale privato</t>
  </si>
  <si>
    <t>(+/-) Variazioni finanziamenti a bt</t>
  </si>
  <si>
    <t xml:space="preserve">(+) Accensione finanziamenti </t>
  </si>
  <si>
    <t>(-) Pagamento interessi passivi a mlt</t>
  </si>
  <si>
    <t xml:space="preserve">(-) Rimborso quote capitale debito </t>
  </si>
  <si>
    <t xml:space="preserve">(-) Pagamento interessi passivi a bt </t>
  </si>
  <si>
    <t xml:space="preserve">(=) Flusso di cassa disponibile per gli azionisti </t>
  </si>
  <si>
    <t>Flussi cum</t>
  </si>
  <si>
    <t>Check disp</t>
  </si>
  <si>
    <t>Valori</t>
  </si>
  <si>
    <t>FCFO riclassificati</t>
  </si>
  <si>
    <t>Coefficienti di attualizzazione</t>
  </si>
  <si>
    <t>FCFO riclassificati attualizzati</t>
  </si>
  <si>
    <t>DPBP - Discounted Payback Period</t>
  </si>
  <si>
    <t>VAN - Progetto</t>
  </si>
  <si>
    <t>CONTO ECONOMICO PREVISIONALE</t>
  </si>
  <si>
    <t>(+) Contributo pubblico in conto gestione</t>
  </si>
  <si>
    <t>Totale Ricavi</t>
  </si>
  <si>
    <t>(=) EBITDA</t>
  </si>
  <si>
    <t>(-) Ammortamenti</t>
  </si>
  <si>
    <t>(=) Risultato Operativo - EBIT</t>
  </si>
  <si>
    <t>(-) Oneri finanziari</t>
  </si>
  <si>
    <t>(=) Risultato Ante Imposte</t>
  </si>
  <si>
    <t>(-) Imposte - IRES</t>
  </si>
  <si>
    <t>(-) Imposte - IRAP</t>
  </si>
  <si>
    <t>(=) Risultato netto</t>
  </si>
  <si>
    <t>STATO PATRIMONIALE PREVISIONALE</t>
  </si>
  <si>
    <t xml:space="preserve">Immobilizzazioni </t>
  </si>
  <si>
    <t>Crediti (IVA)</t>
  </si>
  <si>
    <t>Disponibilità liquide</t>
  </si>
  <si>
    <t>TOTALE ATTIVO</t>
  </si>
  <si>
    <t>Capitale sociale</t>
  </si>
  <si>
    <t>Risconti passivi per contributo pubblico</t>
  </si>
  <si>
    <t>Riserve / utili</t>
  </si>
  <si>
    <t>Debiti breve termine</t>
  </si>
  <si>
    <t>Debiti medio/lungo termine</t>
  </si>
  <si>
    <t>TOTALE PASSIVO</t>
  </si>
  <si>
    <t>Finanziamento bancario</t>
  </si>
  <si>
    <t>Input</t>
  </si>
  <si>
    <t>Rata mutuo (% dell'investimento)</t>
  </si>
  <si>
    <t>Erogazioni</t>
  </si>
  <si>
    <t>Debito inizio periodo</t>
  </si>
  <si>
    <t>Quota capitale (anni di rimborso)</t>
  </si>
  <si>
    <t>Interessi passivi</t>
  </si>
  <si>
    <t>Debito fine periodo</t>
  </si>
  <si>
    <t>Tasso di sconto</t>
  </si>
  <si>
    <t>Utile netto medio</t>
  </si>
  <si>
    <t>VAN - Progetto medio</t>
  </si>
  <si>
    <r>
      <t xml:space="preserve">(=) Flusso di cassa disponibile per il </t>
    </r>
    <r>
      <rPr>
        <b/>
        <i/>
        <sz val="16"/>
        <color rgb="FF000000"/>
        <rFont val="Calibri"/>
        <family val="2"/>
      </rPr>
      <t xml:space="preserve">debt service </t>
    </r>
  </si>
  <si>
    <t>Incassi pubblicitari</t>
  </si>
  <si>
    <t>INDICI DI REDDITIVITA'</t>
  </si>
  <si>
    <t xml:space="preserve">(-) Investimenti </t>
  </si>
  <si>
    <t>Ebitda medio</t>
  </si>
  <si>
    <t>EBITDA</t>
  </si>
  <si>
    <t>EBITDA MEDIO</t>
  </si>
  <si>
    <t>UTILE NETTO TOTALE</t>
  </si>
  <si>
    <t>UTILE NETTO MEDIO</t>
  </si>
  <si>
    <t>VAN DI PROGETTO</t>
  </si>
  <si>
    <t>VAN DI PROGETTO MEDIO</t>
  </si>
  <si>
    <t>FIRMA IMPRESA</t>
  </si>
  <si>
    <t>DATA E LUOGO</t>
  </si>
  <si>
    <t>Procedura evidenza pubblica per affidamento in concessione di bene" - Gestione dell’Immobile denominato “EDICOLA” sito nel Comune di Vecchiano via Del Mare angolo via Del Balipedio Marina di Vecchiano per un periodo di 6 anni</t>
  </si>
  <si>
    <t>Risultato Operativo/EBIT totale</t>
  </si>
  <si>
    <t>Risultato Operativo/EBIT 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</si>
</sst>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&quot; &quot;#,##0.00&quot; &quot;;&quot;-&quot;#,##0.00&quot; &quot;;&quot; -&quot;#&quot; &quot;;&quot; &quot;@&quot; &quot;"/>
    <numFmt numFmtId="165" formatCode="&quot; &quot;#,##0&quot; &quot;;&quot;-&quot;#,##0&quot; &quot;;&quot; -&quot;#&quot; &quot;;&quot; &quot;@&quot; &quot;"/>
    <numFmt numFmtId="166" formatCode="0.0%"/>
    <numFmt numFmtId="167" formatCode="&quot; &quot;#,##0.00&quot;   &quot;;&quot;-&quot;#,##0.00&quot;   &quot;;&quot; -&quot;#&quot;   &quot;;&quot; &quot;@&quot; &quot;"/>
    <numFmt numFmtId="168" formatCode="&quot; &quot;[$€-410]&quot; &quot;#,##0.00&quot; &quot;;&quot;-&quot;[$€-410]&quot; &quot;#,##0.00&quot; &quot;;&quot; &quot;[$€-410]&quot; -&quot;#&quot; &quot;;&quot; &quot;@&quot; &quot;"/>
    <numFmt numFmtId="169" formatCode="[$€-2]\ #,##0.00;[Red]\-[$€-2]\ #,##0.00"/>
    <numFmt numFmtId="170" formatCode="_-&quot;€&quot;\ * #,##0.00_-;\-&quot;€&quot;\ * #,##0.00_-;_-&quot;€&quot;\ * &quot;-&quot;??_-;_-@_-"/>
    <numFmt numFmtId="171" formatCode="&quot;€&quot;\ #,##0.00"/>
    <numFmt numFmtId="172" formatCode="_-[$€-2]\ * #,##0.00_-;\-[$€-2]\ * #,##0.00_-;_-[$€-2]\ * &quot;-&quot;??_-;_-@_-"/>
    <numFmt numFmtId="173" formatCode="_-&quot;€&quot;\ * #,##0_-;\-&quot;€&quot;\ * #,##0_-;_-&quot;€&quot;\ * &quot;-&quot;??_-;_-@_-"/>
    <numFmt numFmtId="174" formatCode="#,##0.00\ &quot;€&quot;"/>
  </numFmts>
  <fonts count="34" x14ac:knownFonts="1">
    <font>
      <sz val="12"/>
      <color rgb="FF000000"/>
      <name val="Calibri"/>
      <family val="2"/>
    </font>
    <font>
      <sz val="12"/>
      <color rgb="FF000000"/>
      <name val="Calibri"/>
      <family val="2"/>
    </font>
    <font>
      <u/>
      <sz val="12"/>
      <color rgb="FF0000FF"/>
      <name val="Calibri"/>
      <family val="2"/>
    </font>
    <font>
      <u/>
      <sz val="12"/>
      <color rgb="FF80008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i/>
      <sz val="14"/>
      <color theme="3" tint="0.499984740745262"/>
      <name val="Calibri"/>
      <family val="2"/>
    </font>
    <font>
      <sz val="14"/>
      <color theme="3" tint="0.499984740745262"/>
      <name val="Calibri"/>
      <family val="2"/>
    </font>
    <font>
      <b/>
      <sz val="16"/>
      <name val="Calibri"/>
      <family val="2"/>
    </font>
    <font>
      <b/>
      <sz val="20"/>
      <name val="Calibri"/>
      <family val="2"/>
    </font>
    <font>
      <sz val="10"/>
      <name val="Calibri"/>
      <family val="2"/>
    </font>
    <font>
      <sz val="12"/>
      <name val="Calibri"/>
      <family val="2"/>
    </font>
    <font>
      <i/>
      <sz val="16"/>
      <name val="Calibri"/>
      <family val="2"/>
    </font>
    <font>
      <sz val="16"/>
      <name val="Calibri"/>
      <family val="2"/>
    </font>
    <font>
      <b/>
      <sz val="12"/>
      <name val="Calibri"/>
      <family val="2"/>
    </font>
    <font>
      <b/>
      <sz val="16"/>
      <color indexed="8"/>
      <name val="Calibri"/>
      <family val="2"/>
    </font>
    <font>
      <sz val="16"/>
      <color theme="1"/>
      <name val="Calibri"/>
      <family val="2"/>
    </font>
    <font>
      <sz val="16"/>
      <color indexed="8"/>
      <name val="Calibri"/>
      <family val="2"/>
    </font>
    <font>
      <b/>
      <sz val="20"/>
      <color rgb="FF000000"/>
      <name val="Calibri"/>
      <family val="2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sz val="16"/>
      <color rgb="FFFFFFFF"/>
      <name val="Calibri"/>
      <family val="2"/>
    </font>
    <font>
      <i/>
      <sz val="16"/>
      <color rgb="FF000000"/>
      <name val="Calibri"/>
      <family val="2"/>
    </font>
    <font>
      <b/>
      <i/>
      <sz val="16"/>
      <color rgb="FF000000"/>
      <name val="Calibri"/>
      <family val="2"/>
    </font>
    <font>
      <i/>
      <sz val="12"/>
      <color rgb="FF000000"/>
      <name val="Calibri"/>
      <family val="2"/>
    </font>
    <font>
      <i/>
      <sz val="12"/>
      <color theme="3" tint="0.499984740745262"/>
      <name val="Calibri"/>
      <family val="2"/>
    </font>
    <font>
      <b/>
      <sz val="14"/>
      <color rgb="FF000000"/>
      <name val="Calibri"/>
      <family val="2"/>
    </font>
    <font>
      <b/>
      <sz val="14"/>
      <color rgb="FFFF0000"/>
      <name val="Calibri"/>
      <family val="2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sz val="14"/>
      <color rgb="FF000000"/>
      <name val="Calibri"/>
      <family val="2"/>
    </font>
    <font>
      <b/>
      <sz val="16"/>
      <color theme="4" tint="0.79998168889431442"/>
      <name val="Calibri"/>
      <family val="2"/>
    </font>
    <font>
      <b/>
      <sz val="2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ABF8F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 applyNumberFormat="0" applyBorder="0" applyProtection="0"/>
    <xf numFmtId="0" fontId="1" fillId="0" borderId="0" applyNumberFormat="0" applyFont="0" applyBorder="0" applyProtection="0"/>
    <xf numFmtId="0" fontId="5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6" fillId="0" borderId="0" applyFont="0" applyFill="0" applyBorder="0" applyAlignment="0" applyProtection="0"/>
  </cellStyleXfs>
  <cellXfs count="145">
    <xf numFmtId="0" fontId="0" fillId="0" borderId="0" xfId="0"/>
    <xf numFmtId="169" fontId="7" fillId="4" borderId="0" xfId="0" applyNumberFormat="1" applyFont="1" applyFill="1" applyAlignment="1" applyProtection="1">
      <alignment horizontal="right" vertical="center"/>
      <protection locked="0"/>
    </xf>
    <xf numFmtId="169" fontId="7" fillId="4" borderId="0" xfId="0" applyNumberFormat="1" applyFont="1" applyFill="1" applyAlignment="1" applyProtection="1">
      <alignment horizontal="center" vertical="center"/>
      <protection locked="0"/>
    </xf>
    <xf numFmtId="169" fontId="8" fillId="4" borderId="0" xfId="0" applyNumberFormat="1" applyFont="1" applyFill="1" applyAlignment="1" applyProtection="1">
      <alignment horizontal="left" vertical="center"/>
      <protection locked="0"/>
    </xf>
    <xf numFmtId="0" fontId="9" fillId="4" borderId="2" xfId="0" applyFont="1" applyFill="1" applyBorder="1" applyAlignment="1" applyProtection="1">
      <alignment horizontal="center" vertical="center"/>
      <protection locked="0"/>
    </xf>
    <xf numFmtId="0" fontId="10" fillId="4" borderId="10" xfId="0" applyFont="1" applyFill="1" applyBorder="1" applyAlignment="1" applyProtection="1">
      <alignment horizontal="center" vertical="center" wrapText="1"/>
      <protection locked="0"/>
    </xf>
    <xf numFmtId="0" fontId="9" fillId="4" borderId="17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locked="0"/>
    </xf>
    <xf numFmtId="0" fontId="12" fillId="4" borderId="0" xfId="0" applyFont="1" applyFill="1" applyAlignment="1" applyProtection="1">
      <alignment vertical="center"/>
      <protection locked="0"/>
    </xf>
    <xf numFmtId="2" fontId="14" fillId="4" borderId="2" xfId="2" applyNumberFormat="1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171" fontId="16" fillId="4" borderId="15" xfId="22" applyNumberFormat="1" applyFont="1" applyFill="1" applyBorder="1" applyAlignment="1" applyProtection="1">
      <alignment vertical="center"/>
      <protection locked="0"/>
    </xf>
    <xf numFmtId="171" fontId="16" fillId="4" borderId="16" xfId="22" applyNumberFormat="1" applyFont="1" applyFill="1" applyBorder="1" applyAlignment="1" applyProtection="1">
      <alignment vertical="center"/>
      <protection locked="0"/>
    </xf>
    <xf numFmtId="0" fontId="14" fillId="4" borderId="13" xfId="0" applyFont="1" applyFill="1" applyBorder="1" applyAlignment="1" applyProtection="1">
      <alignment horizontal="center" vertical="center"/>
      <protection locked="0"/>
    </xf>
    <xf numFmtId="171" fontId="9" fillId="4" borderId="2" xfId="22" applyNumberFormat="1" applyFont="1" applyFill="1" applyBorder="1" applyAlignment="1" applyProtection="1">
      <alignment horizontal="center" vertical="center"/>
      <protection locked="0"/>
    </xf>
    <xf numFmtId="171" fontId="9" fillId="4" borderId="13" xfId="22" applyNumberFormat="1" applyFont="1" applyFill="1" applyBorder="1" applyAlignment="1" applyProtection="1">
      <alignment vertical="center"/>
      <protection locked="0"/>
    </xf>
    <xf numFmtId="2" fontId="9" fillId="4" borderId="2" xfId="0" applyNumberFormat="1" applyFont="1" applyFill="1" applyBorder="1" applyAlignment="1" applyProtection="1">
      <alignment horizontal="center" vertical="center" wrapText="1"/>
      <protection locked="0"/>
    </xf>
    <xf numFmtId="10" fontId="14" fillId="4" borderId="2" xfId="0" applyNumberFormat="1" applyFont="1" applyFill="1" applyBorder="1" applyAlignment="1" applyProtection="1">
      <alignment horizontal="left" vertical="center" wrapText="1" indent="1"/>
      <protection locked="0"/>
    </xf>
    <xf numFmtId="9" fontId="17" fillId="4" borderId="2" xfId="2" applyFont="1" applyFill="1" applyBorder="1" applyAlignment="1" applyProtection="1">
      <alignment horizontal="center" vertical="center"/>
      <protection locked="0"/>
    </xf>
    <xf numFmtId="0" fontId="14" fillId="4" borderId="0" xfId="0" applyFont="1" applyFill="1" applyAlignment="1" applyProtection="1">
      <alignment vertical="center"/>
      <protection locked="0"/>
    </xf>
    <xf numFmtId="0" fontId="14" fillId="4" borderId="0" xfId="0" applyFont="1" applyFill="1" applyAlignment="1" applyProtection="1">
      <alignment horizontal="left" vertical="center" indent="1"/>
      <protection locked="0"/>
    </xf>
    <xf numFmtId="2" fontId="14" fillId="4" borderId="14" xfId="2" applyNumberFormat="1" applyFont="1" applyFill="1" applyBorder="1" applyAlignment="1" applyProtection="1">
      <alignment horizontal="center" vertical="center"/>
      <protection locked="0"/>
    </xf>
    <xf numFmtId="171" fontId="16" fillId="4" borderId="17" xfId="22" applyNumberFormat="1" applyFont="1" applyFill="1" applyBorder="1" applyAlignment="1" applyProtection="1">
      <alignment vertical="center"/>
      <protection locked="0"/>
    </xf>
    <xf numFmtId="10" fontId="9" fillId="4" borderId="2" xfId="0" applyNumberFormat="1" applyFont="1" applyFill="1" applyBorder="1" applyAlignment="1" applyProtection="1">
      <alignment horizontal="center" vertical="center" wrapText="1"/>
      <protection locked="0"/>
    </xf>
    <xf numFmtId="10" fontId="17" fillId="4" borderId="2" xfId="2" applyNumberFormat="1" applyFont="1" applyFill="1" applyBorder="1" applyAlignment="1" applyProtection="1">
      <alignment horizontal="center" vertical="center"/>
      <protection locked="0"/>
    </xf>
    <xf numFmtId="10" fontId="12" fillId="4" borderId="0" xfId="0" applyNumberFormat="1" applyFont="1" applyFill="1" applyAlignment="1" applyProtection="1">
      <alignment vertical="center"/>
      <protection locked="0"/>
    </xf>
    <xf numFmtId="172" fontId="14" fillId="4" borderId="0" xfId="0" applyNumberFormat="1" applyFont="1" applyFill="1" applyAlignment="1" applyProtection="1">
      <alignment horizontal="center" vertical="center"/>
      <protection locked="0"/>
    </xf>
    <xf numFmtId="172" fontId="14" fillId="4" borderId="0" xfId="0" applyNumberFormat="1" applyFont="1" applyFill="1" applyAlignment="1" applyProtection="1">
      <alignment horizontal="left" vertical="center" indent="1"/>
      <protection locked="0"/>
    </xf>
    <xf numFmtId="0" fontId="14" fillId="4" borderId="0" xfId="0" applyFont="1" applyFill="1" applyAlignment="1" applyProtection="1">
      <alignment horizontal="center" vertical="center"/>
      <protection locked="0"/>
    </xf>
    <xf numFmtId="173" fontId="14" fillId="4" borderId="0" xfId="0" applyNumberFormat="1" applyFont="1" applyFill="1" applyAlignment="1" applyProtection="1">
      <alignment horizontal="left" vertical="center" indent="1"/>
      <protection locked="0"/>
    </xf>
    <xf numFmtId="173" fontId="14" fillId="4" borderId="0" xfId="0" applyNumberFormat="1" applyFont="1" applyFill="1" applyAlignment="1" applyProtection="1">
      <alignment vertical="center"/>
      <protection locked="0"/>
    </xf>
    <xf numFmtId="0" fontId="19" fillId="3" borderId="2" xfId="0" applyFont="1" applyFill="1" applyBorder="1" applyAlignment="1" applyProtection="1">
      <alignment horizontal="left" vertical="center" indent="1"/>
      <protection locked="0"/>
    </xf>
    <xf numFmtId="0" fontId="20" fillId="3" borderId="2" xfId="0" applyFont="1" applyFill="1" applyBorder="1" applyAlignment="1" applyProtection="1">
      <alignment horizontal="center" vertical="center"/>
      <protection locked="0"/>
    </xf>
    <xf numFmtId="0" fontId="20" fillId="5" borderId="2" xfId="0" applyFont="1" applyFill="1" applyBorder="1" applyAlignment="1" applyProtection="1">
      <alignment horizontal="center" vertical="center"/>
      <protection locked="0"/>
    </xf>
    <xf numFmtId="0" fontId="21" fillId="3" borderId="1" xfId="0" applyFont="1" applyFill="1" applyBorder="1" applyAlignment="1" applyProtection="1">
      <alignment vertical="center"/>
      <protection locked="0"/>
    </xf>
    <xf numFmtId="0" fontId="21" fillId="3" borderId="5" xfId="0" applyFont="1" applyFill="1" applyBorder="1" applyAlignment="1" applyProtection="1">
      <alignment horizontal="left" vertical="center" indent="1"/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169" fontId="20" fillId="3" borderId="2" xfId="0" applyNumberFormat="1" applyFont="1" applyFill="1" applyBorder="1" applyAlignment="1" applyProtection="1">
      <alignment horizontal="center" vertical="center"/>
      <protection locked="0"/>
    </xf>
    <xf numFmtId="0" fontId="20" fillId="3" borderId="2" xfId="0" applyFont="1" applyFill="1" applyBorder="1" applyAlignment="1" applyProtection="1">
      <alignment horizontal="left" vertical="center" indent="1"/>
      <protection locked="0"/>
    </xf>
    <xf numFmtId="169" fontId="20" fillId="4" borderId="2" xfId="1" applyNumberFormat="1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Protection="1">
      <protection locked="0"/>
    </xf>
    <xf numFmtId="0" fontId="21" fillId="4" borderId="1" xfId="0" applyFont="1" applyFill="1" applyBorder="1" applyAlignment="1" applyProtection="1">
      <alignment vertical="center"/>
      <protection locked="0"/>
    </xf>
    <xf numFmtId="0" fontId="25" fillId="3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 applyProtection="1">
      <alignment horizontal="center" vertical="center"/>
      <protection locked="0"/>
    </xf>
    <xf numFmtId="169" fontId="25" fillId="4" borderId="0" xfId="0" applyNumberFormat="1" applyFont="1" applyFill="1" applyAlignment="1" applyProtection="1">
      <alignment horizontal="center" vertical="center"/>
      <protection locked="0"/>
    </xf>
    <xf numFmtId="0" fontId="21" fillId="4" borderId="1" xfId="0" applyFont="1" applyFill="1" applyBorder="1" applyProtection="1">
      <protection locked="0"/>
    </xf>
    <xf numFmtId="169" fontId="26" fillId="4" borderId="0" xfId="0" applyNumberFormat="1" applyFont="1" applyFill="1" applyAlignment="1" applyProtection="1">
      <alignment horizontal="center" vertical="center"/>
      <protection locked="0"/>
    </xf>
    <xf numFmtId="2" fontId="27" fillId="3" borderId="11" xfId="0" applyNumberFormat="1" applyFont="1" applyFill="1" applyBorder="1" applyAlignment="1" applyProtection="1">
      <alignment vertical="center"/>
      <protection locked="0"/>
    </xf>
    <xf numFmtId="0" fontId="20" fillId="3" borderId="15" xfId="0" applyFont="1" applyFill="1" applyBorder="1" applyAlignment="1" applyProtection="1">
      <alignment horizontal="center" vertical="center"/>
      <protection locked="0"/>
    </xf>
    <xf numFmtId="169" fontId="21" fillId="4" borderId="13" xfId="1" applyNumberFormat="1" applyFont="1" applyFill="1" applyBorder="1" applyAlignment="1" applyProtection="1">
      <alignment horizontal="center" vertical="center"/>
      <protection locked="0"/>
    </xf>
    <xf numFmtId="166" fontId="20" fillId="3" borderId="11" xfId="2" applyNumberFormat="1" applyFont="1" applyFill="1" applyBorder="1" applyAlignment="1" applyProtection="1">
      <alignment vertical="center" wrapText="1"/>
      <protection locked="0"/>
    </xf>
    <xf numFmtId="0" fontId="21" fillId="3" borderId="19" xfId="0" applyFont="1" applyFill="1" applyBorder="1" applyAlignment="1" applyProtection="1">
      <alignment vertical="center"/>
      <protection locked="0"/>
    </xf>
    <xf numFmtId="0" fontId="21" fillId="3" borderId="12" xfId="0" applyFont="1" applyFill="1" applyBorder="1" applyAlignment="1" applyProtection="1">
      <alignment vertical="center"/>
      <protection locked="0"/>
    </xf>
    <xf numFmtId="0" fontId="21" fillId="3" borderId="3" xfId="0" applyFont="1" applyFill="1" applyBorder="1" applyAlignment="1" applyProtection="1">
      <alignment vertical="center"/>
      <protection locked="0"/>
    </xf>
    <xf numFmtId="166" fontId="20" fillId="3" borderId="20" xfId="2" applyNumberFormat="1" applyFont="1" applyFill="1" applyBorder="1" applyAlignment="1" applyProtection="1">
      <alignment vertical="center" wrapText="1"/>
      <protection locked="0"/>
    </xf>
    <xf numFmtId="0" fontId="21" fillId="3" borderId="0" xfId="0" applyFont="1" applyFill="1" applyAlignment="1" applyProtection="1">
      <alignment vertical="center"/>
      <protection locked="0"/>
    </xf>
    <xf numFmtId="0" fontId="27" fillId="3" borderId="0" xfId="0" applyFont="1" applyFill="1" applyAlignment="1" applyProtection="1">
      <alignment horizontal="center" vertical="center"/>
      <protection locked="0"/>
    </xf>
    <xf numFmtId="0" fontId="27" fillId="3" borderId="0" xfId="0" applyFont="1" applyFill="1" applyAlignment="1" applyProtection="1">
      <alignment horizontal="left" vertical="center" indent="1"/>
      <protection locked="0"/>
    </xf>
    <xf numFmtId="2" fontId="28" fillId="3" borderId="0" xfId="1" applyNumberFormat="1" applyFont="1" applyFill="1" applyBorder="1" applyAlignment="1" applyProtection="1">
      <alignment vertical="center"/>
      <protection locked="0"/>
    </xf>
    <xf numFmtId="0" fontId="20" fillId="4" borderId="1" xfId="0" applyFont="1" applyFill="1" applyBorder="1" applyAlignment="1" applyProtection="1">
      <alignment vertical="center"/>
      <protection locked="0"/>
    </xf>
    <xf numFmtId="0" fontId="20" fillId="3" borderId="13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center" vertical="center"/>
      <protection locked="0"/>
    </xf>
    <xf numFmtId="0" fontId="19" fillId="3" borderId="2" xfId="0" applyFont="1" applyFill="1" applyBorder="1" applyAlignment="1" applyProtection="1">
      <alignment horizontal="right" vertical="center" indent="1"/>
      <protection locked="0"/>
    </xf>
    <xf numFmtId="169" fontId="19" fillId="4" borderId="2" xfId="1" applyNumberFormat="1" applyFont="1" applyFill="1" applyBorder="1" applyAlignment="1" applyProtection="1">
      <alignment horizontal="center" vertical="center"/>
      <protection locked="0"/>
    </xf>
    <xf numFmtId="169" fontId="20" fillId="4" borderId="0" xfId="1" applyNumberFormat="1" applyFont="1" applyFill="1" applyBorder="1" applyAlignment="1" applyProtection="1">
      <alignment horizontal="center" vertical="center"/>
      <protection locked="0"/>
    </xf>
    <xf numFmtId="0" fontId="20" fillId="3" borderId="3" xfId="0" applyFont="1" applyFill="1" applyBorder="1" applyAlignment="1" applyProtection="1">
      <alignment vertical="center"/>
      <protection locked="0"/>
    </xf>
    <xf numFmtId="0" fontId="29" fillId="3" borderId="0" xfId="0" applyFont="1" applyFill="1" applyAlignment="1" applyProtection="1">
      <alignment horizontal="center" vertical="center"/>
      <protection locked="0"/>
    </xf>
    <xf numFmtId="0" fontId="29" fillId="3" borderId="0" xfId="0" applyFont="1" applyFill="1" applyAlignment="1" applyProtection="1">
      <alignment horizontal="left" vertical="center" indent="1"/>
      <protection locked="0"/>
    </xf>
    <xf numFmtId="165" fontId="30" fillId="3" borderId="0" xfId="1" applyNumberFormat="1" applyFont="1" applyFill="1" applyBorder="1" applyAlignment="1" applyProtection="1">
      <alignment vertical="center"/>
      <protection locked="0"/>
    </xf>
    <xf numFmtId="165" fontId="29" fillId="3" borderId="0" xfId="1" applyNumberFormat="1" applyFont="1" applyFill="1" applyBorder="1" applyAlignment="1" applyProtection="1">
      <alignment vertical="center"/>
      <protection locked="0"/>
    </xf>
    <xf numFmtId="0" fontId="31" fillId="4" borderId="5" xfId="0" applyFont="1" applyFill="1" applyBorder="1" applyAlignment="1" applyProtection="1">
      <alignment horizontal="center"/>
      <protection locked="0"/>
    </xf>
    <xf numFmtId="0" fontId="21" fillId="4" borderId="5" xfId="0" applyFont="1" applyFill="1" applyBorder="1" applyAlignment="1" applyProtection="1">
      <alignment horizontal="center"/>
      <protection locked="0"/>
    </xf>
    <xf numFmtId="0" fontId="31" fillId="4" borderId="8" xfId="0" applyFont="1" applyFill="1" applyBorder="1" applyAlignment="1" applyProtection="1">
      <alignment horizontal="center"/>
      <protection locked="0"/>
    </xf>
    <xf numFmtId="0" fontId="21" fillId="4" borderId="8" xfId="0" applyFont="1" applyFill="1" applyBorder="1" applyAlignment="1" applyProtection="1">
      <alignment horizontal="center"/>
      <protection locked="0"/>
    </xf>
    <xf numFmtId="0" fontId="27" fillId="3" borderId="2" xfId="0" applyFont="1" applyFill="1" applyBorder="1" applyAlignment="1" applyProtection="1">
      <alignment horizontal="center" vertical="center"/>
      <protection locked="0"/>
    </xf>
    <xf numFmtId="9" fontId="31" fillId="4" borderId="5" xfId="0" applyNumberFormat="1" applyFont="1" applyFill="1" applyBorder="1" applyAlignment="1" applyProtection="1">
      <alignment horizontal="center"/>
      <protection locked="0"/>
    </xf>
    <xf numFmtId="9" fontId="21" fillId="4" borderId="18" xfId="0" applyNumberFormat="1" applyFont="1" applyFill="1" applyBorder="1" applyAlignment="1" applyProtection="1">
      <alignment horizontal="center"/>
      <protection locked="0"/>
    </xf>
    <xf numFmtId="169" fontId="0" fillId="4" borderId="4" xfId="1" applyNumberFormat="1" applyFont="1" applyFill="1" applyBorder="1" applyAlignment="1" applyProtection="1">
      <alignment horizontal="center" vertical="center"/>
      <protection locked="0"/>
    </xf>
    <xf numFmtId="0" fontId="21" fillId="3" borderId="4" xfId="0" applyFont="1" applyFill="1" applyBorder="1" applyAlignment="1" applyProtection="1">
      <alignment horizontal="left" vertical="center" indent="1"/>
      <protection locked="0"/>
    </xf>
    <xf numFmtId="169" fontId="0" fillId="4" borderId="7" xfId="1" applyNumberFormat="1" applyFont="1" applyFill="1" applyBorder="1" applyAlignment="1" applyProtection="1">
      <alignment horizontal="center" vertical="center"/>
      <protection locked="0"/>
    </xf>
    <xf numFmtId="0" fontId="21" fillId="3" borderId="7" xfId="0" applyFont="1" applyFill="1" applyBorder="1" applyAlignment="1" applyProtection="1">
      <alignment horizontal="left" vertical="center" indent="1"/>
      <protection locked="0"/>
    </xf>
    <xf numFmtId="3" fontId="29" fillId="4" borderId="5" xfId="0" applyNumberFormat="1" applyFont="1" applyFill="1" applyBorder="1" applyAlignment="1" applyProtection="1">
      <alignment horizontal="center"/>
      <protection locked="0"/>
    </xf>
    <xf numFmtId="0" fontId="29" fillId="2" borderId="5" xfId="0" applyFont="1" applyFill="1" applyBorder="1" applyAlignment="1" applyProtection="1">
      <alignment horizontal="center"/>
      <protection locked="0"/>
    </xf>
    <xf numFmtId="0" fontId="21" fillId="3" borderId="18" xfId="0" applyFont="1" applyFill="1" applyBorder="1" applyAlignment="1" applyProtection="1">
      <alignment horizontal="left" vertical="center" indent="1"/>
      <protection locked="0"/>
    </xf>
    <xf numFmtId="10" fontId="29" fillId="2" borderId="5" xfId="2" applyNumberFormat="1" applyFont="1" applyFill="1" applyBorder="1" applyAlignment="1" applyProtection="1">
      <alignment horizontal="center"/>
      <protection locked="0"/>
    </xf>
    <xf numFmtId="3" fontId="29" fillId="4" borderId="6" xfId="0" applyNumberFormat="1" applyFont="1" applyFill="1" applyBorder="1" applyAlignment="1" applyProtection="1">
      <alignment horizontal="center"/>
      <protection locked="0"/>
    </xf>
    <xf numFmtId="0" fontId="21" fillId="3" borderId="6" xfId="0" applyFont="1" applyFill="1" applyBorder="1" applyAlignment="1" applyProtection="1">
      <alignment horizontal="left" vertical="center" indent="1"/>
      <protection locked="0"/>
    </xf>
    <xf numFmtId="0" fontId="21" fillId="3" borderId="12" xfId="0" applyFont="1" applyFill="1" applyBorder="1" applyAlignment="1" applyProtection="1">
      <alignment horizontal="center" vertical="center"/>
      <protection locked="0"/>
    </xf>
    <xf numFmtId="0" fontId="21" fillId="3" borderId="12" xfId="0" applyFont="1" applyFill="1" applyBorder="1" applyAlignment="1" applyProtection="1">
      <alignment horizontal="left" vertical="center" indent="1"/>
      <protection locked="0"/>
    </xf>
    <xf numFmtId="165" fontId="21" fillId="3" borderId="12" xfId="1" applyNumberFormat="1" applyFont="1" applyFill="1" applyBorder="1" applyAlignment="1" applyProtection="1">
      <alignment vertical="center"/>
      <protection locked="0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0" fontId="21" fillId="3" borderId="1" xfId="0" applyFont="1" applyFill="1" applyBorder="1" applyAlignment="1" applyProtection="1">
      <alignment horizontal="left" vertical="center" indent="1"/>
      <protection locked="0"/>
    </xf>
    <xf numFmtId="165" fontId="21" fillId="3" borderId="1" xfId="1" applyNumberFormat="1" applyFont="1" applyFill="1" applyBorder="1" applyAlignment="1" applyProtection="1">
      <alignment vertical="center"/>
      <protection locked="0"/>
    </xf>
    <xf numFmtId="0" fontId="21" fillId="3" borderId="18" xfId="0" applyFont="1" applyFill="1" applyBorder="1" applyAlignment="1" applyProtection="1">
      <alignment horizontal="center" vertical="center"/>
      <protection locked="0"/>
    </xf>
    <xf numFmtId="165" fontId="20" fillId="3" borderId="18" xfId="1" applyNumberFormat="1" applyFont="1" applyFill="1" applyBorder="1" applyAlignment="1" applyProtection="1">
      <alignment horizontal="center" vertical="center"/>
      <protection locked="0"/>
    </xf>
    <xf numFmtId="0" fontId="20" fillId="3" borderId="9" xfId="0" applyFont="1" applyFill="1" applyBorder="1" applyAlignment="1" applyProtection="1">
      <alignment horizontal="center" vertical="center"/>
      <protection locked="0"/>
    </xf>
    <xf numFmtId="9" fontId="22" fillId="3" borderId="21" xfId="2" applyFont="1" applyFill="1" applyBorder="1" applyAlignment="1" applyProtection="1">
      <alignment horizontal="center" vertical="center"/>
      <protection locked="0"/>
    </xf>
    <xf numFmtId="0" fontId="20" fillId="3" borderId="18" xfId="0" applyFont="1" applyFill="1" applyBorder="1" applyAlignment="1" applyProtection="1">
      <alignment horizontal="center" vertical="center"/>
      <protection locked="0"/>
    </xf>
    <xf numFmtId="0" fontId="20" fillId="4" borderId="18" xfId="0" applyFont="1" applyFill="1" applyBorder="1" applyAlignment="1" applyProtection="1">
      <alignment horizontal="center" vertical="center"/>
      <protection locked="0"/>
    </xf>
    <xf numFmtId="0" fontId="21" fillId="3" borderId="2" xfId="0" applyFont="1" applyFill="1" applyBorder="1" applyAlignment="1" applyProtection="1">
      <alignment horizontal="left" vertical="center" indent="1"/>
      <protection locked="0"/>
    </xf>
    <xf numFmtId="169" fontId="20" fillId="2" borderId="2" xfId="1" applyNumberFormat="1" applyFont="1" applyFill="1" applyBorder="1" applyAlignment="1" applyProtection="1">
      <alignment horizontal="center" vertical="center"/>
      <protection locked="0"/>
    </xf>
    <xf numFmtId="169" fontId="21" fillId="2" borderId="2" xfId="1" applyNumberFormat="1" applyFont="1" applyFill="1" applyBorder="1" applyAlignment="1" applyProtection="1">
      <alignment horizontal="center" vertical="center"/>
      <protection locked="0"/>
    </xf>
    <xf numFmtId="169" fontId="21" fillId="4" borderId="2" xfId="1" applyNumberFormat="1" applyFont="1" applyFill="1" applyBorder="1" applyAlignment="1" applyProtection="1">
      <alignment horizontal="center" vertical="center"/>
      <protection locked="0"/>
    </xf>
    <xf numFmtId="0" fontId="21" fillId="4" borderId="2" xfId="0" applyFont="1" applyFill="1" applyBorder="1" applyAlignment="1" applyProtection="1">
      <alignment horizontal="left" vertical="center" indent="1"/>
      <protection locked="0"/>
    </xf>
    <xf numFmtId="2" fontId="21" fillId="4" borderId="2" xfId="1" applyNumberFormat="1" applyFont="1" applyFill="1" applyBorder="1" applyAlignment="1" applyProtection="1">
      <alignment horizontal="center" vertical="center"/>
      <protection locked="0"/>
    </xf>
    <xf numFmtId="0" fontId="21" fillId="4" borderId="3" xfId="0" applyFont="1" applyFill="1" applyBorder="1" applyAlignment="1" applyProtection="1">
      <alignment vertical="center"/>
      <protection locked="0"/>
    </xf>
    <xf numFmtId="169" fontId="23" fillId="4" borderId="2" xfId="1" applyNumberFormat="1" applyFont="1" applyFill="1" applyBorder="1" applyAlignment="1" applyProtection="1">
      <alignment horizontal="center" vertical="center"/>
      <protection locked="0"/>
    </xf>
    <xf numFmtId="169" fontId="24" fillId="4" borderId="2" xfId="1" applyNumberFormat="1" applyFont="1" applyFill="1" applyBorder="1" applyAlignment="1" applyProtection="1">
      <alignment horizontal="center" vertical="center"/>
      <protection locked="0"/>
    </xf>
    <xf numFmtId="169" fontId="20" fillId="3" borderId="16" xfId="0" applyNumberFormat="1" applyFont="1" applyFill="1" applyBorder="1" applyAlignment="1" applyProtection="1">
      <alignment horizontal="center" vertical="center"/>
      <protection locked="0"/>
    </xf>
    <xf numFmtId="0" fontId="23" fillId="4" borderId="2" xfId="0" applyFont="1" applyFill="1" applyBorder="1" applyAlignment="1" applyProtection="1">
      <alignment horizontal="right" vertical="center" indent="1"/>
      <protection locked="0"/>
    </xf>
    <xf numFmtId="3" fontId="20" fillId="4" borderId="2" xfId="0" applyNumberFormat="1" applyFont="1" applyFill="1" applyBorder="1" applyAlignment="1" applyProtection="1">
      <alignment horizontal="center" vertical="center"/>
      <protection locked="0"/>
    </xf>
    <xf numFmtId="171" fontId="14" fillId="6" borderId="2" xfId="1" applyNumberFormat="1" applyFont="1" applyFill="1" applyBorder="1" applyAlignment="1" applyProtection="1">
      <alignment horizontal="right" vertical="center"/>
      <protection locked="0"/>
    </xf>
    <xf numFmtId="171" fontId="18" fillId="6" borderId="2" xfId="22" applyNumberFormat="1" applyFont="1" applyFill="1" applyBorder="1" applyAlignment="1" applyProtection="1">
      <alignment vertical="center"/>
      <protection locked="0"/>
    </xf>
    <xf numFmtId="0" fontId="9" fillId="4" borderId="14" xfId="0" applyFont="1" applyFill="1" applyBorder="1" applyAlignment="1" applyProtection="1">
      <alignment horizontal="center" vertical="center"/>
      <protection locked="0"/>
    </xf>
    <xf numFmtId="0" fontId="13" fillId="4" borderId="17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 applyProtection="1">
      <alignment horizontal="left" vertical="center" indent="1"/>
      <protection locked="0"/>
    </xf>
    <xf numFmtId="9" fontId="14" fillId="6" borderId="2" xfId="2" applyFont="1" applyFill="1" applyBorder="1" applyAlignment="1" applyProtection="1">
      <alignment horizontal="center" vertical="center"/>
      <protection locked="0"/>
    </xf>
    <xf numFmtId="0" fontId="14" fillId="6" borderId="2" xfId="0" applyFont="1" applyFill="1" applyBorder="1" applyAlignment="1" applyProtection="1">
      <alignment horizontal="left" vertical="center" wrapText="1" indent="1"/>
      <protection locked="0"/>
    </xf>
    <xf numFmtId="0" fontId="13" fillId="4" borderId="14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 applyProtection="1">
      <alignment horizontal="left" vertical="center" wrapText="1" indent="1"/>
      <protection locked="0"/>
    </xf>
    <xf numFmtId="9" fontId="14" fillId="6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4" fillId="6" borderId="2" xfId="0" applyFont="1" applyFill="1" applyBorder="1" applyAlignment="1" applyProtection="1">
      <alignment horizontal="left" vertical="center" indent="1"/>
      <protection locked="0"/>
    </xf>
    <xf numFmtId="10" fontId="14" fillId="4" borderId="2" xfId="2" applyNumberFormat="1" applyFont="1" applyFill="1" applyBorder="1" applyAlignment="1" applyProtection="1">
      <alignment horizontal="center" vertical="center"/>
    </xf>
    <xf numFmtId="0" fontId="21" fillId="3" borderId="2" xfId="0" applyFont="1" applyFill="1" applyBorder="1" applyAlignment="1" applyProtection="1">
      <alignment horizontal="center" vertical="center"/>
      <protection locked="0"/>
    </xf>
    <xf numFmtId="9" fontId="22" fillId="3" borderId="2" xfId="2" applyFont="1" applyFill="1" applyBorder="1" applyAlignment="1" applyProtection="1">
      <alignment horizontal="center" vertical="center"/>
      <protection locked="0"/>
    </xf>
    <xf numFmtId="169" fontId="21" fillId="4" borderId="2" xfId="0" applyNumberFormat="1" applyFont="1" applyFill="1" applyBorder="1" applyAlignment="1" applyProtection="1">
      <alignment horizontal="center"/>
      <protection locked="0"/>
    </xf>
    <xf numFmtId="9" fontId="21" fillId="4" borderId="2" xfId="2" applyFont="1" applyFill="1" applyBorder="1" applyAlignment="1" applyProtection="1">
      <alignment horizontal="center" vertical="center"/>
      <protection locked="0"/>
    </xf>
    <xf numFmtId="166" fontId="23" fillId="3" borderId="2" xfId="2" applyNumberFormat="1" applyFont="1" applyFill="1" applyBorder="1" applyAlignment="1" applyProtection="1">
      <alignment horizontal="center" vertical="center"/>
      <protection locked="0"/>
    </xf>
    <xf numFmtId="0" fontId="21" fillId="4" borderId="2" xfId="0" applyFont="1" applyFill="1" applyBorder="1" applyProtection="1">
      <protection locked="0"/>
    </xf>
    <xf numFmtId="10" fontId="21" fillId="4" borderId="2" xfId="0" applyNumberFormat="1" applyFont="1" applyFill="1" applyBorder="1" applyAlignment="1" applyProtection="1">
      <alignment horizontal="center" vertical="center"/>
      <protection locked="0"/>
    </xf>
    <xf numFmtId="0" fontId="21" fillId="4" borderId="2" xfId="0" applyFont="1" applyFill="1" applyBorder="1" applyAlignment="1" applyProtection="1">
      <alignment horizontal="center" vertical="center"/>
      <protection locked="0"/>
    </xf>
    <xf numFmtId="166" fontId="21" fillId="4" borderId="2" xfId="2" applyNumberFormat="1" applyFont="1" applyFill="1" applyBorder="1" applyAlignment="1" applyProtection="1">
      <alignment horizontal="center" vertical="center"/>
      <protection locked="0"/>
    </xf>
    <xf numFmtId="10" fontId="21" fillId="4" borderId="2" xfId="2" applyNumberFormat="1" applyFont="1" applyFill="1" applyBorder="1" applyAlignment="1" applyProtection="1">
      <alignment horizontal="center" vertical="center"/>
      <protection locked="0"/>
    </xf>
    <xf numFmtId="169" fontId="23" fillId="6" borderId="2" xfId="1" applyNumberFormat="1" applyFont="1" applyFill="1" applyBorder="1" applyAlignment="1" applyProtection="1">
      <alignment horizontal="center" vertical="center"/>
      <protection locked="0"/>
    </xf>
    <xf numFmtId="10" fontId="19" fillId="3" borderId="11" xfId="2" applyNumberFormat="1" applyFont="1" applyFill="1" applyBorder="1" applyAlignment="1" applyProtection="1">
      <alignment horizontal="center" vertical="center"/>
    </xf>
    <xf numFmtId="0" fontId="10" fillId="4" borderId="0" xfId="0" applyFont="1" applyFill="1" applyAlignment="1" applyProtection="1">
      <alignment vertical="center"/>
      <protection locked="0"/>
    </xf>
    <xf numFmtId="0" fontId="32" fillId="7" borderId="2" xfId="0" applyFont="1" applyFill="1" applyBorder="1" applyAlignment="1">
      <alignment horizontal="center" vertical="center"/>
    </xf>
    <xf numFmtId="0" fontId="33" fillId="4" borderId="9" xfId="0" applyFont="1" applyFill="1" applyBorder="1" applyAlignment="1" applyProtection="1">
      <alignment horizontal="center" vertical="center" wrapText="1"/>
      <protection locked="0"/>
    </xf>
    <xf numFmtId="0" fontId="33" fillId="4" borderId="10" xfId="0" applyFont="1" applyFill="1" applyBorder="1" applyAlignment="1" applyProtection="1">
      <alignment horizontal="center" vertical="center" wrapText="1"/>
      <protection locked="0"/>
    </xf>
    <xf numFmtId="0" fontId="33" fillId="4" borderId="22" xfId="0" applyFont="1" applyFill="1" applyBorder="1" applyAlignment="1" applyProtection="1">
      <alignment horizontal="center" vertical="center" wrapText="1"/>
      <protection locked="0"/>
    </xf>
    <xf numFmtId="0" fontId="29" fillId="0" borderId="9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174" fontId="29" fillId="0" borderId="2" xfId="0" applyNumberFormat="1" applyFont="1" applyBorder="1" applyAlignment="1">
      <alignment horizontal="center" vertical="center"/>
    </xf>
    <xf numFmtId="0" fontId="29" fillId="0" borderId="2" xfId="0" applyFont="1" applyBorder="1" applyAlignment="1">
      <alignment vertical="center"/>
    </xf>
  </cellXfs>
  <cellStyles count="23">
    <cellStyle name="Collegamento ipertestuale" xfId="3" xr:uid="{1F80D72C-DB39-4C0C-889A-CD62FA307B0A}"/>
    <cellStyle name="Collegamento ipertestuale visitato" xfId="4" xr:uid="{EF147F55-E76A-4023-9FC7-186C91BE99C0}"/>
    <cellStyle name="Comma 2" xfId="5" xr:uid="{85F3EE25-0251-46DD-BC0C-9417A372A804}"/>
    <cellStyle name="Comma 3" xfId="6" xr:uid="{D9D7E31B-B06C-4ACA-B52E-C08D17229524}"/>
    <cellStyle name="Currency 2" xfId="7" xr:uid="{D0B166BF-6732-473B-AAE5-AA6BDA7207FE}"/>
    <cellStyle name="Euro" xfId="22" xr:uid="{DDDBC30A-F4E4-4337-B8A5-6CD081C9E38D}"/>
    <cellStyle name="Migliaia" xfId="1" builtinId="3" customBuiltin="1"/>
    <cellStyle name="Migliaia 3" xfId="8" xr:uid="{35E10FAB-33B8-4177-AE13-70BC50EFFAB6}"/>
    <cellStyle name="Migliaia 7" xfId="9" xr:uid="{33FB2F99-93D6-4BDD-9A46-FE1C3638DFF0}"/>
    <cellStyle name="Millares 2" xfId="10" xr:uid="{1A964A4E-558B-43A4-BD10-089F382C8044}"/>
    <cellStyle name="Millares 3" xfId="11" xr:uid="{69733E3A-278E-4A02-8195-12DD1448BC99}"/>
    <cellStyle name="Normal 2" xfId="12" xr:uid="{22697EB8-7EEC-4C2B-8061-B65AB40673DC}"/>
    <cellStyle name="Normal 3" xfId="13" xr:uid="{83FD05BC-625F-4DD9-B5BA-140A0D9C33FF}"/>
    <cellStyle name="Normal 4" xfId="14" xr:uid="{20C10B82-AE3A-404D-9A44-FF77069C3F5C}"/>
    <cellStyle name="Normal 5" xfId="15" xr:uid="{95E66209-4172-419A-9B31-0BF443BD519B}"/>
    <cellStyle name="Normal 5 2" xfId="16" xr:uid="{1307397B-3C50-43D8-B925-7DFEFC6ADF5A}"/>
    <cellStyle name="Normal 6" xfId="17" xr:uid="{21E0D7FC-09EA-4027-A5D4-61B5D9692C7E}"/>
    <cellStyle name="Normale" xfId="0" builtinId="0" customBuiltin="1"/>
    <cellStyle name="Percent 2" xfId="18" xr:uid="{99C2B501-230E-4B99-8F1F-F9D81B79B516}"/>
    <cellStyle name="Percent 3" xfId="19" xr:uid="{9FF4A386-2C02-4186-92E9-268F76FF856E}"/>
    <cellStyle name="Percentuale" xfId="2" builtinId="5" customBuiltin="1"/>
    <cellStyle name="Porcentual 2" xfId="20" xr:uid="{50933E41-9753-4413-BA29-9F69CDB80F52}"/>
    <cellStyle name="Porcentual 3" xfId="21" xr:uid="{8C6D301B-C2CA-4C78-A783-22F60E392EFF}"/>
  </cellStyles>
  <dxfs count="4">
    <dxf>
      <fill>
        <patternFill>
          <bgColor theme="9" tint="0.79998168889431442"/>
        </patternFill>
      </fill>
    </dxf>
    <dxf>
      <fill>
        <patternFill>
          <bgColor rgb="FFFFB9B9"/>
        </patternFill>
      </fill>
    </dxf>
    <dxf>
      <font>
        <color theme="0"/>
      </font>
      <fill>
        <patternFill patternType="none">
          <fgColor indexed="64"/>
          <bgColor indexed="65"/>
        </patternFill>
      </fill>
    </dxf>
    <dxf>
      <font>
        <color theme="0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FFB3B3"/>
      <color rgb="FFFFB9B9"/>
      <color rgb="FFFF7D7D"/>
      <color rgb="FFFBE2D5"/>
      <color rgb="FFFCECE4"/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microsoft.com/office/2017/10/relationships/person" Target="persons/person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essandro Tornese" id="{79791DC2-7ED6-485B-971F-E28C060927C2}" userId="da57aa0a5abb2763" providerId="Windows Live"/>
</personList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1" dT="2025-11-03T15:29:41.19" personId="{79791DC2-7ED6-485B-971F-E28C060927C2}" id="{D3745338-2547-4D48-89A2-3A0E60EB8D39}">
    <text>FCFO cumulati utili per l’individuazione del PBP, cioè dell’anno del recupero dell’investimento</text>
  </threadedComment>
  <threadedComment ref="B32" dT="2025-11-03T14:07:43.37" personId="{79791DC2-7ED6-485B-971F-E28C060927C2}" id="{F774B8CF-A944-4475-9E8E-80C053EAA654}">
    <text>FCFO riclassificato per mettere l’investimento nell’anno 0 e i flussi del progetto negli anni in cui si generano i costi e i ricavi di esercizio (impostazione utile per calcolare il DPBP)</text>
  </threadedComment>
  <threadedComment ref="B33" dT="2025-11-03T14:08:18.46" personId="{79791DC2-7ED6-485B-971F-E28C060927C2}" id="{57B7A536-25A9-4A05-ACF2-7DC5C37E21BF}">
    <text>Coefficiente di attualizzazione che riflette il costo del denaro nel tempo (WACC)</text>
  </threadedComment>
  <threadedComment ref="B34" dT="2025-11-03T14:08:57.47" personId="{79791DC2-7ED6-485B-971F-E28C060927C2}" id="{7F773631-9623-48C3-8570-3D5D67E93567}">
    <text>FCFO attualizzati al costo del denaro (WACC). Essi rappresentano il valore dei flussi di cassa del progetto nel momento attuale di valutazione per l’investitore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0D4F9-D007-4875-93A1-AB6C5B7BB1E0}">
  <dimension ref="A1:W66"/>
  <sheetViews>
    <sheetView tabSelected="1" zoomScale="50" zoomScaleNormal="50" zoomScaleSheetLayoutView="70" workbookViewId="0">
      <pane xSplit="3" topLeftCell="D1" activePane="topRight" state="frozen"/>
      <selection activeCell="B22" sqref="B22:O32"/>
      <selection pane="topRight" activeCell="C18" sqref="C18"/>
    </sheetView>
  </sheetViews>
  <sheetFormatPr defaultColWidth="8.19921875" defaultRowHeight="21" x14ac:dyDescent="0.3"/>
  <cols>
    <col min="1" max="1" width="15.59765625" style="19" customWidth="1"/>
    <col min="2" max="2" width="68.59765625" style="20" customWidth="1"/>
    <col min="3" max="3" width="22.59765625" style="19" customWidth="1"/>
    <col min="4" max="9" width="21.59765625" style="19" customWidth="1"/>
    <col min="10" max="13" width="19.69921875" style="19" customWidth="1"/>
    <col min="14" max="16384" width="8.19921875" style="19"/>
  </cols>
  <sheetData>
    <row r="1" spans="1:23" ht="73.8" customHeight="1" x14ac:dyDescent="0.3">
      <c r="A1" s="137" t="s">
        <v>98</v>
      </c>
      <c r="B1" s="138"/>
      <c r="C1" s="138"/>
      <c r="D1" s="138"/>
      <c r="E1" s="138"/>
      <c r="F1" s="138"/>
      <c r="G1" s="138"/>
      <c r="H1" s="138"/>
      <c r="I1" s="139"/>
    </row>
    <row r="2" spans="1:23" s="8" customFormat="1" ht="50.25" customHeight="1" x14ac:dyDescent="0.3">
      <c r="A2" s="136">
        <v>6</v>
      </c>
      <c r="B2" s="5" t="s">
        <v>0</v>
      </c>
      <c r="C2" s="6" t="s">
        <v>1</v>
      </c>
      <c r="D2" s="4">
        <v>1</v>
      </c>
      <c r="E2" s="4">
        <f>D2+1</f>
        <v>2</v>
      </c>
      <c r="F2" s="4">
        <f t="shared" ref="F2:I2" si="0">E2+1</f>
        <v>3</v>
      </c>
      <c r="G2" s="4">
        <f t="shared" si="0"/>
        <v>4</v>
      </c>
      <c r="H2" s="4">
        <f t="shared" si="0"/>
        <v>5</v>
      </c>
      <c r="I2" s="4">
        <f t="shared" si="0"/>
        <v>6</v>
      </c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3" s="10" customFormat="1" ht="31.2" customHeight="1" x14ac:dyDescent="0.3">
      <c r="A3" s="113" t="s">
        <v>2</v>
      </c>
      <c r="B3" s="114" t="s">
        <v>3</v>
      </c>
      <c r="C3" s="122">
        <v>0.02</v>
      </c>
      <c r="D3" s="9">
        <v>1</v>
      </c>
      <c r="E3" s="9">
        <f t="shared" ref="E3:I3" si="1">D3*(1+$C$3)</f>
        <v>1.02</v>
      </c>
      <c r="F3" s="9">
        <f t="shared" si="1"/>
        <v>1.0404</v>
      </c>
      <c r="G3" s="9">
        <f t="shared" si="1"/>
        <v>1.0612079999999999</v>
      </c>
      <c r="H3" s="9">
        <f t="shared" si="1"/>
        <v>1.08243216</v>
      </c>
      <c r="I3" s="9">
        <f t="shared" si="1"/>
        <v>1.1040808032</v>
      </c>
      <c r="J3" s="8"/>
      <c r="K3" s="8"/>
      <c r="L3" s="8"/>
      <c r="M3" s="8"/>
      <c r="N3" s="8"/>
      <c r="O3" s="8"/>
      <c r="P3" s="8"/>
      <c r="Q3" s="8"/>
      <c r="R3" s="8"/>
    </row>
    <row r="4" spans="1:23" s="10" customFormat="1" ht="31.2" customHeight="1" x14ac:dyDescent="0.3">
      <c r="A4" s="116">
        <v>0.22</v>
      </c>
      <c r="B4" s="117" t="s">
        <v>4</v>
      </c>
      <c r="C4" s="11">
        <f t="shared" ref="C4:C13" si="2">SUM(D4:I4)</f>
        <v>60000</v>
      </c>
      <c r="D4" s="111">
        <v>10000</v>
      </c>
      <c r="E4" s="111">
        <f>D4</f>
        <v>10000</v>
      </c>
      <c r="F4" s="111">
        <f t="shared" ref="F4:I4" si="3">E4</f>
        <v>10000</v>
      </c>
      <c r="G4" s="111">
        <f t="shared" si="3"/>
        <v>10000</v>
      </c>
      <c r="H4" s="111">
        <f t="shared" si="3"/>
        <v>10000</v>
      </c>
      <c r="I4" s="111">
        <f t="shared" si="3"/>
        <v>10000</v>
      </c>
      <c r="M4" s="135"/>
    </row>
    <row r="5" spans="1:23" s="10" customFormat="1" ht="31.2" customHeight="1" x14ac:dyDescent="0.3">
      <c r="A5" s="116">
        <v>0.22</v>
      </c>
      <c r="B5" s="117" t="s">
        <v>5</v>
      </c>
      <c r="C5" s="11">
        <f t="shared" si="2"/>
        <v>60000</v>
      </c>
      <c r="D5" s="111">
        <v>10000</v>
      </c>
      <c r="E5" s="111">
        <f t="shared" ref="E5:I13" si="4">D5</f>
        <v>10000</v>
      </c>
      <c r="F5" s="111">
        <f t="shared" si="4"/>
        <v>10000</v>
      </c>
      <c r="G5" s="111">
        <f t="shared" si="4"/>
        <v>10000</v>
      </c>
      <c r="H5" s="111">
        <f t="shared" si="4"/>
        <v>10000</v>
      </c>
      <c r="I5" s="111">
        <f t="shared" si="4"/>
        <v>10000</v>
      </c>
    </row>
    <row r="6" spans="1:23" s="10" customFormat="1" ht="31.2" customHeight="1" x14ac:dyDescent="0.3">
      <c r="A6" s="116">
        <v>0.22</v>
      </c>
      <c r="B6" s="117" t="s">
        <v>86</v>
      </c>
      <c r="C6" s="11">
        <f t="shared" si="2"/>
        <v>60000</v>
      </c>
      <c r="D6" s="111">
        <v>10000</v>
      </c>
      <c r="E6" s="111">
        <f t="shared" si="4"/>
        <v>10000</v>
      </c>
      <c r="F6" s="111">
        <f t="shared" si="4"/>
        <v>10000</v>
      </c>
      <c r="G6" s="111">
        <f t="shared" si="4"/>
        <v>10000</v>
      </c>
      <c r="H6" s="111">
        <f t="shared" si="4"/>
        <v>10000</v>
      </c>
      <c r="I6" s="111">
        <f t="shared" si="4"/>
        <v>10000</v>
      </c>
    </row>
    <row r="7" spans="1:23" s="10" customFormat="1" ht="31.2" customHeight="1" x14ac:dyDescent="0.3">
      <c r="A7" s="116">
        <v>0.22</v>
      </c>
      <c r="B7" s="117" t="s">
        <v>6</v>
      </c>
      <c r="C7" s="11">
        <f t="shared" si="2"/>
        <v>60000</v>
      </c>
      <c r="D7" s="111">
        <v>10000</v>
      </c>
      <c r="E7" s="111">
        <f t="shared" si="4"/>
        <v>10000</v>
      </c>
      <c r="F7" s="111">
        <f t="shared" si="4"/>
        <v>10000</v>
      </c>
      <c r="G7" s="111">
        <f t="shared" si="4"/>
        <v>10000</v>
      </c>
      <c r="H7" s="111">
        <f t="shared" si="4"/>
        <v>10000</v>
      </c>
      <c r="I7" s="111">
        <f t="shared" si="4"/>
        <v>10000</v>
      </c>
    </row>
    <row r="8" spans="1:23" s="10" customFormat="1" ht="31.2" customHeight="1" x14ac:dyDescent="0.3">
      <c r="A8" s="116">
        <v>0.22</v>
      </c>
      <c r="B8" s="117" t="s">
        <v>7</v>
      </c>
      <c r="C8" s="11">
        <f t="shared" si="2"/>
        <v>60000</v>
      </c>
      <c r="D8" s="111">
        <v>10000</v>
      </c>
      <c r="E8" s="111">
        <f t="shared" si="4"/>
        <v>10000</v>
      </c>
      <c r="F8" s="111">
        <f t="shared" si="4"/>
        <v>10000</v>
      </c>
      <c r="G8" s="111">
        <f t="shared" si="4"/>
        <v>10000</v>
      </c>
      <c r="H8" s="111">
        <f t="shared" si="4"/>
        <v>10000</v>
      </c>
      <c r="I8" s="111">
        <f t="shared" si="4"/>
        <v>10000</v>
      </c>
    </row>
    <row r="9" spans="1:23" s="10" customFormat="1" ht="31.2" customHeight="1" x14ac:dyDescent="0.3">
      <c r="A9" s="116"/>
      <c r="B9" s="117"/>
      <c r="C9" s="11">
        <f t="shared" si="2"/>
        <v>0</v>
      </c>
      <c r="D9" s="111">
        <v>0</v>
      </c>
      <c r="E9" s="111">
        <f t="shared" si="4"/>
        <v>0</v>
      </c>
      <c r="F9" s="111">
        <f t="shared" si="4"/>
        <v>0</v>
      </c>
      <c r="G9" s="111">
        <f t="shared" si="4"/>
        <v>0</v>
      </c>
      <c r="H9" s="111">
        <f t="shared" si="4"/>
        <v>0</v>
      </c>
      <c r="I9" s="111">
        <f t="shared" si="4"/>
        <v>0</v>
      </c>
    </row>
    <row r="10" spans="1:23" s="10" customFormat="1" ht="31.2" customHeight="1" x14ac:dyDescent="0.3">
      <c r="A10" s="116"/>
      <c r="B10" s="117" t="s">
        <v>8</v>
      </c>
      <c r="C10" s="11">
        <f t="shared" si="2"/>
        <v>0</v>
      </c>
      <c r="D10" s="111">
        <v>0</v>
      </c>
      <c r="E10" s="111">
        <f t="shared" si="4"/>
        <v>0</v>
      </c>
      <c r="F10" s="111">
        <f t="shared" si="4"/>
        <v>0</v>
      </c>
      <c r="G10" s="111">
        <f t="shared" si="4"/>
        <v>0</v>
      </c>
      <c r="H10" s="111">
        <f t="shared" si="4"/>
        <v>0</v>
      </c>
      <c r="I10" s="111">
        <f t="shared" si="4"/>
        <v>0</v>
      </c>
    </row>
    <row r="11" spans="1:23" s="10" customFormat="1" ht="31.2" customHeight="1" x14ac:dyDescent="0.3">
      <c r="A11" s="116"/>
      <c r="B11" s="117" t="s">
        <v>8</v>
      </c>
      <c r="C11" s="11">
        <f t="shared" si="2"/>
        <v>0</v>
      </c>
      <c r="D11" s="111">
        <v>0</v>
      </c>
      <c r="E11" s="111">
        <f t="shared" si="4"/>
        <v>0</v>
      </c>
      <c r="F11" s="111">
        <f t="shared" si="4"/>
        <v>0</v>
      </c>
      <c r="G11" s="111">
        <f t="shared" si="4"/>
        <v>0</v>
      </c>
      <c r="H11" s="111">
        <f t="shared" si="4"/>
        <v>0</v>
      </c>
      <c r="I11" s="111">
        <f t="shared" si="4"/>
        <v>0</v>
      </c>
    </row>
    <row r="12" spans="1:23" s="10" customFormat="1" ht="31.2" hidden="1" customHeight="1" x14ac:dyDescent="0.3">
      <c r="A12" s="116"/>
      <c r="B12" s="117" t="s">
        <v>8</v>
      </c>
      <c r="C12" s="11">
        <f t="shared" si="2"/>
        <v>0</v>
      </c>
      <c r="D12" s="111">
        <v>0</v>
      </c>
      <c r="E12" s="111">
        <f t="shared" si="4"/>
        <v>0</v>
      </c>
      <c r="F12" s="111">
        <f t="shared" si="4"/>
        <v>0</v>
      </c>
      <c r="G12" s="111">
        <f t="shared" si="4"/>
        <v>0</v>
      </c>
      <c r="H12" s="111">
        <f t="shared" si="4"/>
        <v>0</v>
      </c>
      <c r="I12" s="111">
        <f t="shared" si="4"/>
        <v>0</v>
      </c>
    </row>
    <row r="13" spans="1:23" s="10" customFormat="1" ht="31.2" hidden="1" customHeight="1" x14ac:dyDescent="0.3">
      <c r="A13" s="116"/>
      <c r="B13" s="117" t="s">
        <v>8</v>
      </c>
      <c r="C13" s="12">
        <f t="shared" si="2"/>
        <v>0</v>
      </c>
      <c r="D13" s="111">
        <v>0</v>
      </c>
      <c r="E13" s="111">
        <f t="shared" si="4"/>
        <v>0</v>
      </c>
      <c r="F13" s="111">
        <f t="shared" ref="F13:I13" si="5">E13</f>
        <v>0</v>
      </c>
      <c r="G13" s="111">
        <f t="shared" si="5"/>
        <v>0</v>
      </c>
      <c r="H13" s="111">
        <f t="shared" si="5"/>
        <v>0</v>
      </c>
      <c r="I13" s="111">
        <f t="shared" si="5"/>
        <v>0</v>
      </c>
      <c r="J13" s="8"/>
      <c r="K13" s="8"/>
      <c r="L13" s="8"/>
      <c r="M13" s="8"/>
      <c r="N13" s="8"/>
      <c r="O13" s="8"/>
      <c r="P13" s="8"/>
      <c r="Q13" s="8"/>
      <c r="R13" s="8"/>
    </row>
    <row r="14" spans="1:23" s="8" customFormat="1" ht="31.2" customHeight="1" x14ac:dyDescent="0.3">
      <c r="A14" s="13"/>
      <c r="B14" s="115" t="s">
        <v>9</v>
      </c>
      <c r="C14" s="14">
        <f t="shared" ref="C14:I14" si="6">SUM(C4:C13)</f>
        <v>300000</v>
      </c>
      <c r="D14" s="15">
        <f t="shared" si="6"/>
        <v>50000</v>
      </c>
      <c r="E14" s="15">
        <f t="shared" si="6"/>
        <v>50000</v>
      </c>
      <c r="F14" s="15">
        <f t="shared" si="6"/>
        <v>50000</v>
      </c>
      <c r="G14" s="15">
        <f t="shared" si="6"/>
        <v>50000</v>
      </c>
      <c r="H14" s="15">
        <f t="shared" si="6"/>
        <v>50000</v>
      </c>
      <c r="I14" s="15">
        <f t="shared" si="6"/>
        <v>50000</v>
      </c>
    </row>
    <row r="15" spans="1:23" s="8" customFormat="1" ht="31.2" customHeight="1" x14ac:dyDescent="0.3">
      <c r="A15" s="16"/>
      <c r="B15" s="17" t="s">
        <v>10</v>
      </c>
      <c r="C15" s="18"/>
      <c r="D15" s="18">
        <f t="shared" ref="D15:I15" si="7">D4*$A$4/D14+D5*$A$5/D14+D6*$A$6/D14+D7*$A$7/D14+D8*$A$8/D14+D9*$A$9/D14+D10*$A$10/D14+D11*$A$11/D14+D12*$A$12/D14+D13*$A$13/D14</f>
        <v>0.21999999999999997</v>
      </c>
      <c r="E15" s="18">
        <f t="shared" si="7"/>
        <v>0.21999999999999997</v>
      </c>
      <c r="F15" s="18">
        <f t="shared" si="7"/>
        <v>0.21999999999999997</v>
      </c>
      <c r="G15" s="18">
        <f t="shared" si="7"/>
        <v>0.21999999999999997</v>
      </c>
      <c r="H15" s="18">
        <f t="shared" si="7"/>
        <v>0.21999999999999997</v>
      </c>
      <c r="I15" s="18">
        <f t="shared" si="7"/>
        <v>0.21999999999999997</v>
      </c>
    </row>
    <row r="16" spans="1:23" ht="31.2" customHeight="1" x14ac:dyDescent="0.3"/>
    <row r="17" spans="1:18" s="8" customFormat="1" ht="50.25" customHeight="1" x14ac:dyDescent="0.3">
      <c r="A17" s="4" t="s">
        <v>8</v>
      </c>
      <c r="B17" s="5" t="s">
        <v>11</v>
      </c>
      <c r="C17" s="4" t="s">
        <v>1</v>
      </c>
      <c r="D17" s="4">
        <v>1</v>
      </c>
      <c r="E17" s="4">
        <f>D17+1</f>
        <v>2</v>
      </c>
      <c r="F17" s="4">
        <f t="shared" ref="F17:I17" si="8">E17+1</f>
        <v>3</v>
      </c>
      <c r="G17" s="4">
        <f t="shared" si="8"/>
        <v>4</v>
      </c>
      <c r="H17" s="4">
        <f t="shared" si="8"/>
        <v>5</v>
      </c>
      <c r="I17" s="4">
        <f t="shared" si="8"/>
        <v>6</v>
      </c>
    </row>
    <row r="18" spans="1:18" s="10" customFormat="1" ht="31.2" customHeight="1" x14ac:dyDescent="0.3">
      <c r="A18" s="113" t="s">
        <v>2</v>
      </c>
      <c r="B18" s="118" t="s">
        <v>3</v>
      </c>
      <c r="C18" s="122">
        <f>C3</f>
        <v>0.02</v>
      </c>
      <c r="D18" s="21">
        <v>1</v>
      </c>
      <c r="E18" s="21">
        <f t="shared" ref="E18:I18" si="9">D18*(1+$C$18)</f>
        <v>1.02</v>
      </c>
      <c r="F18" s="21">
        <f t="shared" si="9"/>
        <v>1.0404</v>
      </c>
      <c r="G18" s="21">
        <f t="shared" si="9"/>
        <v>1.0612079999999999</v>
      </c>
      <c r="H18" s="21">
        <f t="shared" si="9"/>
        <v>1.08243216</v>
      </c>
      <c r="I18" s="21">
        <f t="shared" si="9"/>
        <v>1.1040808032</v>
      </c>
      <c r="J18" s="8"/>
      <c r="K18" s="8"/>
      <c r="L18" s="8"/>
      <c r="M18" s="8"/>
      <c r="N18" s="8"/>
      <c r="O18" s="8"/>
      <c r="P18" s="8"/>
      <c r="Q18" s="8"/>
      <c r="R18" s="8"/>
    </row>
    <row r="19" spans="1:18" s="8" customFormat="1" ht="31.2" customHeight="1" x14ac:dyDescent="0.3">
      <c r="A19" s="116">
        <v>0</v>
      </c>
      <c r="B19" s="120" t="s">
        <v>12</v>
      </c>
      <c r="C19" s="22">
        <f t="shared" ref="C19:C29" si="10">SUM(D19:I19)</f>
        <v>18000</v>
      </c>
      <c r="D19" s="112">
        <v>3000</v>
      </c>
      <c r="E19" s="112">
        <f>D19</f>
        <v>3000</v>
      </c>
      <c r="F19" s="112">
        <f t="shared" ref="F19:I19" si="11">E19</f>
        <v>3000</v>
      </c>
      <c r="G19" s="112">
        <f t="shared" si="11"/>
        <v>3000</v>
      </c>
      <c r="H19" s="112">
        <f t="shared" si="11"/>
        <v>3000</v>
      </c>
      <c r="I19" s="112">
        <f t="shared" si="11"/>
        <v>3000</v>
      </c>
    </row>
    <row r="20" spans="1:18" s="8" customFormat="1" ht="31.2" customHeight="1" x14ac:dyDescent="0.3">
      <c r="A20" s="116">
        <v>0.22</v>
      </c>
      <c r="B20" s="121" t="s">
        <v>13</v>
      </c>
      <c r="C20" s="11">
        <f t="shared" si="10"/>
        <v>18000</v>
      </c>
      <c r="D20" s="112">
        <v>3000</v>
      </c>
      <c r="E20" s="112">
        <f t="shared" ref="E20:I29" si="12">D20</f>
        <v>3000</v>
      </c>
      <c r="F20" s="112">
        <f t="shared" si="12"/>
        <v>3000</v>
      </c>
      <c r="G20" s="112">
        <f t="shared" si="12"/>
        <v>3000</v>
      </c>
      <c r="H20" s="112">
        <f t="shared" si="12"/>
        <v>3000</v>
      </c>
      <c r="I20" s="112">
        <f t="shared" si="12"/>
        <v>3000</v>
      </c>
    </row>
    <row r="21" spans="1:18" s="8" customFormat="1" ht="31.2" customHeight="1" x14ac:dyDescent="0.3">
      <c r="A21" s="116">
        <v>0.22</v>
      </c>
      <c r="B21" s="121" t="s">
        <v>14</v>
      </c>
      <c r="C21" s="11">
        <f t="shared" si="10"/>
        <v>18000</v>
      </c>
      <c r="D21" s="112">
        <v>3000</v>
      </c>
      <c r="E21" s="112">
        <f t="shared" si="12"/>
        <v>3000</v>
      </c>
      <c r="F21" s="112">
        <f t="shared" si="12"/>
        <v>3000</v>
      </c>
      <c r="G21" s="112">
        <f t="shared" si="12"/>
        <v>3000</v>
      </c>
      <c r="H21" s="112">
        <f t="shared" si="12"/>
        <v>3000</v>
      </c>
      <c r="I21" s="112">
        <f t="shared" si="12"/>
        <v>3000</v>
      </c>
    </row>
    <row r="22" spans="1:18" s="8" customFormat="1" ht="31.2" customHeight="1" x14ac:dyDescent="0.3">
      <c r="A22" s="116">
        <v>0.22</v>
      </c>
      <c r="B22" s="121" t="s">
        <v>15</v>
      </c>
      <c r="C22" s="11">
        <f t="shared" si="10"/>
        <v>18000</v>
      </c>
      <c r="D22" s="112">
        <v>3000</v>
      </c>
      <c r="E22" s="112">
        <f t="shared" si="12"/>
        <v>3000</v>
      </c>
      <c r="F22" s="112">
        <f t="shared" si="12"/>
        <v>3000</v>
      </c>
      <c r="G22" s="112">
        <f t="shared" si="12"/>
        <v>3000</v>
      </c>
      <c r="H22" s="112">
        <f t="shared" si="12"/>
        <v>3000</v>
      </c>
      <c r="I22" s="112">
        <f t="shared" si="12"/>
        <v>3000</v>
      </c>
    </row>
    <row r="23" spans="1:18" s="8" customFormat="1" ht="31.2" customHeight="1" x14ac:dyDescent="0.3">
      <c r="A23" s="116">
        <v>0.22</v>
      </c>
      <c r="B23" s="121" t="s">
        <v>16</v>
      </c>
      <c r="C23" s="11">
        <f t="shared" si="10"/>
        <v>18000</v>
      </c>
      <c r="D23" s="112">
        <v>3000</v>
      </c>
      <c r="E23" s="112">
        <f t="shared" si="12"/>
        <v>3000</v>
      </c>
      <c r="F23" s="112">
        <f t="shared" si="12"/>
        <v>3000</v>
      </c>
      <c r="G23" s="112">
        <f t="shared" si="12"/>
        <v>3000</v>
      </c>
      <c r="H23" s="112">
        <f t="shared" si="12"/>
        <v>3000</v>
      </c>
      <c r="I23" s="112">
        <f t="shared" si="12"/>
        <v>3000</v>
      </c>
    </row>
    <row r="24" spans="1:18" s="8" customFormat="1" ht="31.2" customHeight="1" x14ac:dyDescent="0.3">
      <c r="A24" s="116">
        <v>0.22</v>
      </c>
      <c r="B24" s="121" t="s">
        <v>17</v>
      </c>
      <c r="C24" s="11">
        <f t="shared" si="10"/>
        <v>18000</v>
      </c>
      <c r="D24" s="112">
        <v>3000</v>
      </c>
      <c r="E24" s="112">
        <f t="shared" si="12"/>
        <v>3000</v>
      </c>
      <c r="F24" s="112">
        <f t="shared" si="12"/>
        <v>3000</v>
      </c>
      <c r="G24" s="112">
        <f t="shared" si="12"/>
        <v>3000</v>
      </c>
      <c r="H24" s="112">
        <f t="shared" si="12"/>
        <v>3000</v>
      </c>
      <c r="I24" s="112">
        <f t="shared" si="12"/>
        <v>3000</v>
      </c>
    </row>
    <row r="25" spans="1:18" s="8" customFormat="1" ht="31.2" customHeight="1" x14ac:dyDescent="0.3">
      <c r="A25" s="116">
        <v>0.22</v>
      </c>
      <c r="B25" s="121" t="s">
        <v>18</v>
      </c>
      <c r="C25" s="11">
        <f t="shared" si="10"/>
        <v>18000</v>
      </c>
      <c r="D25" s="112">
        <v>3000</v>
      </c>
      <c r="E25" s="112">
        <f t="shared" si="12"/>
        <v>3000</v>
      </c>
      <c r="F25" s="112">
        <f t="shared" si="12"/>
        <v>3000</v>
      </c>
      <c r="G25" s="112">
        <f t="shared" si="12"/>
        <v>3000</v>
      </c>
      <c r="H25" s="112">
        <f t="shared" si="12"/>
        <v>3000</v>
      </c>
      <c r="I25" s="112">
        <f t="shared" si="12"/>
        <v>3000</v>
      </c>
    </row>
    <row r="26" spans="1:18" s="8" customFormat="1" ht="31.2" customHeight="1" x14ac:dyDescent="0.3">
      <c r="A26" s="116">
        <v>0.22</v>
      </c>
      <c r="B26" s="121" t="s">
        <v>19</v>
      </c>
      <c r="C26" s="11">
        <f t="shared" si="10"/>
        <v>18000</v>
      </c>
      <c r="D26" s="112">
        <v>3000</v>
      </c>
      <c r="E26" s="112">
        <f t="shared" si="12"/>
        <v>3000</v>
      </c>
      <c r="F26" s="112">
        <f t="shared" si="12"/>
        <v>3000</v>
      </c>
      <c r="G26" s="112">
        <f t="shared" si="12"/>
        <v>3000</v>
      </c>
      <c r="H26" s="112">
        <f t="shared" si="12"/>
        <v>3000</v>
      </c>
      <c r="I26" s="112">
        <f t="shared" si="12"/>
        <v>3000</v>
      </c>
    </row>
    <row r="27" spans="1:18" s="8" customFormat="1" ht="31.2" customHeight="1" x14ac:dyDescent="0.3">
      <c r="A27" s="116"/>
      <c r="B27" s="121" t="s">
        <v>8</v>
      </c>
      <c r="C27" s="11">
        <f t="shared" si="10"/>
        <v>0</v>
      </c>
      <c r="D27" s="112">
        <v>0</v>
      </c>
      <c r="E27" s="112">
        <f t="shared" si="12"/>
        <v>0</v>
      </c>
      <c r="F27" s="112">
        <f t="shared" si="12"/>
        <v>0</v>
      </c>
      <c r="G27" s="112">
        <f t="shared" si="12"/>
        <v>0</v>
      </c>
      <c r="H27" s="112">
        <f t="shared" si="12"/>
        <v>0</v>
      </c>
      <c r="I27" s="112">
        <f t="shared" si="12"/>
        <v>0</v>
      </c>
    </row>
    <row r="28" spans="1:18" s="8" customFormat="1" ht="31.2" hidden="1" customHeight="1" x14ac:dyDescent="0.3">
      <c r="A28" s="116"/>
      <c r="B28" s="121" t="s">
        <v>8</v>
      </c>
      <c r="C28" s="11">
        <f t="shared" si="10"/>
        <v>0</v>
      </c>
      <c r="D28" s="112">
        <v>0</v>
      </c>
      <c r="E28" s="112">
        <f t="shared" si="12"/>
        <v>0</v>
      </c>
      <c r="F28" s="112">
        <f t="shared" si="12"/>
        <v>0</v>
      </c>
      <c r="G28" s="112">
        <f t="shared" si="12"/>
        <v>0</v>
      </c>
      <c r="H28" s="112">
        <f t="shared" si="12"/>
        <v>0</v>
      </c>
      <c r="I28" s="112">
        <f t="shared" si="12"/>
        <v>0</v>
      </c>
    </row>
    <row r="29" spans="1:18" s="8" customFormat="1" ht="31.2" hidden="1" customHeight="1" x14ac:dyDescent="0.3">
      <c r="A29" s="116"/>
      <c r="B29" s="121" t="s">
        <v>8</v>
      </c>
      <c r="C29" s="12">
        <f t="shared" si="10"/>
        <v>0</v>
      </c>
      <c r="D29" s="112">
        <v>0</v>
      </c>
      <c r="E29" s="112">
        <f t="shared" si="12"/>
        <v>0</v>
      </c>
      <c r="F29" s="112">
        <v>0</v>
      </c>
      <c r="G29" s="112">
        <f t="shared" ref="G29:I29" si="13">F29</f>
        <v>0</v>
      </c>
      <c r="H29" s="112">
        <f t="shared" si="13"/>
        <v>0</v>
      </c>
      <c r="I29" s="112">
        <f t="shared" si="13"/>
        <v>0</v>
      </c>
    </row>
    <row r="30" spans="1:18" s="8" customFormat="1" ht="31.2" customHeight="1" x14ac:dyDescent="0.3">
      <c r="A30" s="13"/>
      <c r="B30" s="119" t="s">
        <v>20</v>
      </c>
      <c r="C30" s="14">
        <f>SUM(C19:C29)</f>
        <v>144000</v>
      </c>
      <c r="D30" s="15">
        <f>SUM(D19:D29)</f>
        <v>24000</v>
      </c>
      <c r="E30" s="15">
        <f>SUM(E19:E29)</f>
        <v>24000</v>
      </c>
      <c r="F30" s="15">
        <f t="shared" ref="F30:I30" si="14">SUM(F19:F29)</f>
        <v>24000</v>
      </c>
      <c r="G30" s="15">
        <f t="shared" si="14"/>
        <v>24000</v>
      </c>
      <c r="H30" s="15">
        <f t="shared" si="14"/>
        <v>24000</v>
      </c>
      <c r="I30" s="15">
        <f t="shared" si="14"/>
        <v>24000</v>
      </c>
    </row>
    <row r="31" spans="1:18" s="25" customFormat="1" ht="31.2" customHeight="1" x14ac:dyDescent="0.3">
      <c r="A31" s="23"/>
      <c r="B31" s="17" t="s">
        <v>21</v>
      </c>
      <c r="C31" s="24"/>
      <c r="D31" s="18">
        <f>D19*$A$19/D30+D20*$A$20/D30+D21*$A$21/D30+D22*$A$22/D30+D23*$A$23/D30+D24*$A$24/D30+D25*$A$25/D30+D26*$A$26/D30+D27*$A$27/D30+D28*$A$28/D30+D29*$A$29/D30</f>
        <v>0.1925</v>
      </c>
      <c r="E31" s="18">
        <f t="shared" ref="E31:I31" si="15">E19*$A$19/E30+E20*$A$20/E30+E21*$A$21/E30+E22*$A$22/E30+E23*$A$23/E30+E24*$A$24/E30+E25*$A$25/E30+E26*$A$26/E30+E27*$A$27/E30+E28*$A$28/E30+E29*$A$29/E30</f>
        <v>0.1925</v>
      </c>
      <c r="F31" s="18">
        <f t="shared" si="15"/>
        <v>0.1925</v>
      </c>
      <c r="G31" s="18">
        <f t="shared" si="15"/>
        <v>0.1925</v>
      </c>
      <c r="H31" s="18">
        <f t="shared" si="15"/>
        <v>0.1925</v>
      </c>
      <c r="I31" s="18">
        <f t="shared" si="15"/>
        <v>0.1925</v>
      </c>
      <c r="J31" s="8"/>
      <c r="K31" s="8"/>
      <c r="L31" s="8"/>
      <c r="M31" s="8"/>
      <c r="N31" s="8"/>
      <c r="O31" s="8"/>
      <c r="P31" s="8"/>
      <c r="Q31" s="8"/>
      <c r="R31" s="8"/>
    </row>
    <row r="32" spans="1:18" s="26" customFormat="1" ht="35.25" customHeight="1" x14ac:dyDescent="0.3">
      <c r="B32" s="27"/>
    </row>
    <row r="33" spans="2:2" s="26" customFormat="1" ht="35.25" customHeight="1" x14ac:dyDescent="0.3">
      <c r="B33" s="27"/>
    </row>
    <row r="34" spans="2:2" s="26" customFormat="1" ht="35.25" customHeight="1" x14ac:dyDescent="0.3">
      <c r="B34" s="27"/>
    </row>
    <row r="35" spans="2:2" s="26" customFormat="1" ht="35.25" customHeight="1" x14ac:dyDescent="0.3">
      <c r="B35" s="27"/>
    </row>
    <row r="36" spans="2:2" s="26" customFormat="1" ht="35.25" customHeight="1" x14ac:dyDescent="0.3">
      <c r="B36" s="27"/>
    </row>
    <row r="37" spans="2:2" s="26" customFormat="1" ht="18" customHeight="1" x14ac:dyDescent="0.3">
      <c r="B37" s="27"/>
    </row>
    <row r="38" spans="2:2" s="26" customFormat="1" ht="50.25" customHeight="1" x14ac:dyDescent="0.3">
      <c r="B38" s="27"/>
    </row>
    <row r="39" spans="2:2" s="26" customFormat="1" ht="35.25" customHeight="1" x14ac:dyDescent="0.3">
      <c r="B39" s="27"/>
    </row>
    <row r="40" spans="2:2" s="26" customFormat="1" ht="35.25" customHeight="1" x14ac:dyDescent="0.3">
      <c r="B40" s="27"/>
    </row>
    <row r="41" spans="2:2" s="26" customFormat="1" ht="35.25" customHeight="1" x14ac:dyDescent="0.3">
      <c r="B41" s="27"/>
    </row>
    <row r="42" spans="2:2" s="28" customFormat="1" ht="35.25" customHeight="1" x14ac:dyDescent="0.3">
      <c r="B42" s="20"/>
    </row>
    <row r="43" spans="2:2" s="28" customFormat="1" ht="35.25" customHeight="1" x14ac:dyDescent="0.3">
      <c r="B43" s="20"/>
    </row>
    <row r="44" spans="2:2" s="28" customFormat="1" ht="35.25" customHeight="1" x14ac:dyDescent="0.3">
      <c r="B44" s="20"/>
    </row>
    <row r="45" spans="2:2" s="28" customFormat="1" ht="35.25" customHeight="1" x14ac:dyDescent="0.3">
      <c r="B45" s="20"/>
    </row>
    <row r="46" spans="2:2" s="28" customFormat="1" ht="35.25" customHeight="1" x14ac:dyDescent="0.3">
      <c r="B46" s="20"/>
    </row>
    <row r="47" spans="2:2" s="28" customFormat="1" ht="35.25" customHeight="1" x14ac:dyDescent="0.3">
      <c r="B47" s="20"/>
    </row>
    <row r="48" spans="2:2" s="28" customFormat="1" ht="35.25" customHeight="1" x14ac:dyDescent="0.3">
      <c r="B48" s="20"/>
    </row>
    <row r="49" spans="2:9" s="28" customFormat="1" ht="35.25" customHeight="1" x14ac:dyDescent="0.3">
      <c r="B49" s="20"/>
    </row>
    <row r="50" spans="2:9" s="28" customFormat="1" ht="35.25" customHeight="1" x14ac:dyDescent="0.3">
      <c r="B50" s="20"/>
    </row>
    <row r="51" spans="2:9" ht="35.25" customHeight="1" x14ac:dyDescent="0.3"/>
    <row r="52" spans="2:9" ht="35.25" customHeight="1" x14ac:dyDescent="0.3"/>
    <row r="53" spans="2:9" ht="35.25" customHeight="1" x14ac:dyDescent="0.3"/>
    <row r="54" spans="2:9" ht="50.25" customHeight="1" x14ac:dyDescent="0.3"/>
    <row r="55" spans="2:9" ht="35.25" customHeight="1" x14ac:dyDescent="0.3"/>
    <row r="56" spans="2:9" ht="35.25" customHeight="1" x14ac:dyDescent="0.3"/>
    <row r="57" spans="2:9" ht="35.25" customHeight="1" x14ac:dyDescent="0.3"/>
    <row r="58" spans="2:9" ht="35.25" customHeight="1" x14ac:dyDescent="0.3"/>
    <row r="59" spans="2:9" ht="35.25" customHeight="1" x14ac:dyDescent="0.3">
      <c r="B59" s="29"/>
      <c r="C59" s="30"/>
      <c r="D59" s="30"/>
      <c r="E59" s="30"/>
      <c r="F59" s="30"/>
      <c r="G59" s="30"/>
      <c r="H59" s="30"/>
      <c r="I59" s="30"/>
    </row>
    <row r="60" spans="2:9" ht="35.25" customHeight="1" x14ac:dyDescent="0.3">
      <c r="B60" s="29"/>
      <c r="C60" s="30"/>
      <c r="D60" s="30"/>
      <c r="E60" s="30"/>
      <c r="F60" s="30"/>
      <c r="G60" s="30"/>
      <c r="H60" s="30"/>
      <c r="I60" s="30"/>
    </row>
    <row r="61" spans="2:9" ht="35.25" customHeight="1" x14ac:dyDescent="0.3">
      <c r="B61" s="29"/>
      <c r="C61" s="30"/>
      <c r="D61" s="30"/>
      <c r="E61" s="30"/>
      <c r="F61" s="30"/>
      <c r="G61" s="30"/>
      <c r="H61" s="30"/>
      <c r="I61" s="30"/>
    </row>
    <row r="62" spans="2:9" ht="35.25" customHeight="1" x14ac:dyDescent="0.3">
      <c r="B62" s="29"/>
      <c r="C62" s="30"/>
      <c r="D62" s="30"/>
      <c r="E62" s="30"/>
      <c r="F62" s="30"/>
      <c r="G62" s="30"/>
      <c r="H62" s="30"/>
      <c r="I62" s="30"/>
    </row>
    <row r="63" spans="2:9" ht="35.25" customHeight="1" x14ac:dyDescent="0.3">
      <c r="B63" s="29"/>
      <c r="C63" s="30"/>
      <c r="D63" s="30"/>
      <c r="E63" s="30"/>
      <c r="F63" s="30"/>
      <c r="G63" s="30"/>
      <c r="H63" s="30"/>
      <c r="I63" s="30"/>
    </row>
    <row r="64" spans="2:9" ht="35.25" customHeight="1" x14ac:dyDescent="0.3">
      <c r="B64" s="29"/>
      <c r="C64" s="30"/>
      <c r="D64" s="30"/>
      <c r="E64" s="30"/>
      <c r="F64" s="30"/>
      <c r="G64" s="30"/>
      <c r="H64" s="30"/>
      <c r="I64" s="30"/>
    </row>
    <row r="66" ht="18" customHeight="1" x14ac:dyDescent="0.3"/>
  </sheetData>
  <sheetProtection algorithmName="SHA-512" hashValue="N0Rr21akQe7uKmmjYEdSvklgioh8M1p/gOitB7ZVNJajZNnl/snQoWSOMCHvWLsi66tdQpnUNRmizhASH5gxzw==" saltValue="DxFj+jgY84ojJtv0CTZJsg==" spinCount="100000" sheet="1" objects="1" scenarios="1"/>
  <mergeCells count="1">
    <mergeCell ref="A1:I1"/>
  </mergeCells>
  <conditionalFormatting sqref="C14:C15">
    <cfRule type="expression" dxfId="3" priority="3">
      <formula>$D$7=""</formula>
    </cfRule>
  </conditionalFormatting>
  <conditionalFormatting sqref="C30:C31">
    <cfRule type="expression" dxfId="2" priority="2">
      <formula>$D$7=""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E7E3-48FC-45C4-A895-8BCD0DFCC550}">
  <dimension ref="A1:AR78"/>
  <sheetViews>
    <sheetView zoomScale="50" zoomScaleNormal="50" zoomScaleSheetLayoutView="40" workbookViewId="0">
      <pane xSplit="3" topLeftCell="D1" activePane="topRight" state="frozen"/>
      <selection activeCell="B22" sqref="B22:O32"/>
      <selection pane="topRight" activeCell="C33" sqref="C33"/>
    </sheetView>
  </sheetViews>
  <sheetFormatPr defaultColWidth="9" defaultRowHeight="18" customHeight="1" outlineLevelRow="1" x14ac:dyDescent="0.3"/>
  <cols>
    <col min="1" max="1" width="15.59765625" style="90" customWidth="1"/>
    <col min="2" max="2" width="70.59765625" style="91" customWidth="1"/>
    <col min="3" max="3" width="22.59765625" style="90" customWidth="1"/>
    <col min="4" max="6" width="21.59765625" style="92" customWidth="1"/>
    <col min="7" max="7" width="21.59765625" style="34" customWidth="1"/>
    <col min="8" max="8" width="21.59765625" style="90" customWidth="1"/>
    <col min="9" max="9" width="21.59765625" style="34" customWidth="1"/>
    <col min="10" max="10" width="9" style="34" customWidth="1"/>
    <col min="11" max="16384" width="9" style="34"/>
  </cols>
  <sheetData>
    <row r="1" spans="1:10" ht="50.25" customHeight="1" x14ac:dyDescent="0.3">
      <c r="A1" s="4" t="s">
        <v>8</v>
      </c>
      <c r="B1" s="31" t="s">
        <v>22</v>
      </c>
      <c r="C1" s="32" t="s">
        <v>1</v>
      </c>
      <c r="D1" s="33">
        <f>D37</f>
        <v>1</v>
      </c>
      <c r="E1" s="33">
        <v>2</v>
      </c>
      <c r="F1" s="33">
        <f>F37</f>
        <v>3</v>
      </c>
      <c r="G1" s="33">
        <f>G37</f>
        <v>4</v>
      </c>
      <c r="H1" s="33">
        <f>H37</f>
        <v>5</v>
      </c>
      <c r="I1" s="33">
        <f>I37</f>
        <v>6</v>
      </c>
    </row>
    <row r="2" spans="1:10" s="36" customFormat="1" ht="32.25" customHeight="1" x14ac:dyDescent="0.3">
      <c r="A2" s="123"/>
      <c r="B2" s="99" t="s">
        <v>23</v>
      </c>
      <c r="C2" s="100">
        <f t="shared" ref="C2:C9" si="0">SUM(D2:I2)</f>
        <v>315406.04816000001</v>
      </c>
      <c r="D2" s="101">
        <f>Input!D14*Input!D3</f>
        <v>50000</v>
      </c>
      <c r="E2" s="101">
        <f>Input!E14*Input!E3</f>
        <v>51000</v>
      </c>
      <c r="F2" s="101">
        <f>Input!F14*Input!F3</f>
        <v>52020</v>
      </c>
      <c r="G2" s="101">
        <f>Input!G14*Input!G3</f>
        <v>53060.399999999994</v>
      </c>
      <c r="H2" s="101">
        <f>Input!H14*Input!H3</f>
        <v>54121.608</v>
      </c>
      <c r="I2" s="101">
        <f>Input!I14*Input!I3</f>
        <v>55204.040160000004</v>
      </c>
      <c r="J2" s="65"/>
    </row>
    <row r="3" spans="1:10" s="36" customFormat="1" ht="32.25" customHeight="1" x14ac:dyDescent="0.3">
      <c r="A3" s="123"/>
      <c r="B3" s="103" t="s">
        <v>24</v>
      </c>
      <c r="C3" s="100">
        <f t="shared" si="0"/>
        <v>0</v>
      </c>
      <c r="D3" s="101">
        <v>0</v>
      </c>
      <c r="E3" s="101">
        <v>0</v>
      </c>
      <c r="F3" s="101">
        <v>0</v>
      </c>
      <c r="G3" s="101">
        <v>0</v>
      </c>
      <c r="H3" s="101">
        <v>0</v>
      </c>
      <c r="I3" s="101">
        <v>0</v>
      </c>
      <c r="J3" s="65"/>
    </row>
    <row r="4" spans="1:10" s="36" customFormat="1" ht="32.25" customHeight="1" x14ac:dyDescent="0.3">
      <c r="A4" s="123"/>
      <c r="B4" s="103" t="s">
        <v>25</v>
      </c>
      <c r="C4" s="100">
        <f t="shared" si="0"/>
        <v>-63074.901511036805</v>
      </c>
      <c r="D4" s="133">
        <v>-9999</v>
      </c>
      <c r="E4" s="106">
        <f>D4*(1+Input!$C$3)</f>
        <v>-10198.98</v>
      </c>
      <c r="F4" s="106">
        <f>E4*(1+Input!$C$3)</f>
        <v>-10402.9596</v>
      </c>
      <c r="G4" s="106">
        <f>F4*(1+Input!$C$3)</f>
        <v>-10611.018792000001</v>
      </c>
      <c r="H4" s="106">
        <f>G4*(1+Input!$C$3)</f>
        <v>-10823.239167840002</v>
      </c>
      <c r="I4" s="106">
        <f>H4*(1+Input!$C$3)</f>
        <v>-11039.703951196801</v>
      </c>
      <c r="J4" s="65"/>
    </row>
    <row r="5" spans="1:10" s="36" customFormat="1" ht="32.25" customHeight="1" x14ac:dyDescent="0.3">
      <c r="A5" s="124"/>
      <c r="B5" s="99" t="s">
        <v>26</v>
      </c>
      <c r="C5" s="100">
        <f t="shared" si="0"/>
        <v>-151394.90311680001</v>
      </c>
      <c r="D5" s="101">
        <f>-Input!D30*Input!D18</f>
        <v>-24000</v>
      </c>
      <c r="E5" s="101">
        <f>-Input!E30*Input!E18</f>
        <v>-24480</v>
      </c>
      <c r="F5" s="101">
        <f>-Input!F30*Input!F18</f>
        <v>-24969.599999999999</v>
      </c>
      <c r="G5" s="101">
        <f>-Input!G30*Input!G18</f>
        <v>-25468.991999999998</v>
      </c>
      <c r="H5" s="101">
        <f>-Input!H30*Input!H18</f>
        <v>-25978.37184</v>
      </c>
      <c r="I5" s="101">
        <f>-Input!I30*Input!I18</f>
        <v>-26497.9392768</v>
      </c>
      <c r="J5" s="65"/>
    </row>
    <row r="6" spans="1:10" s="36" customFormat="1" ht="32.25" customHeight="1" x14ac:dyDescent="0.3">
      <c r="A6" s="37"/>
      <c r="B6" s="38" t="s">
        <v>27</v>
      </c>
      <c r="C6" s="39">
        <f t="shared" si="0"/>
        <v>100936.24353216319</v>
      </c>
      <c r="D6" s="39">
        <f>SUM(D2:D5)</f>
        <v>16001</v>
      </c>
      <c r="E6" s="39">
        <f>SUM(E2:E5)</f>
        <v>16321.020000000004</v>
      </c>
      <c r="F6" s="39">
        <f t="shared" ref="F6:I6" si="1">SUM(F2:F5)</f>
        <v>16647.440399999999</v>
      </c>
      <c r="G6" s="39">
        <f t="shared" si="1"/>
        <v>16980.389207999993</v>
      </c>
      <c r="H6" s="39">
        <f t="shared" si="1"/>
        <v>17319.996992159999</v>
      </c>
      <c r="I6" s="39">
        <f t="shared" si="1"/>
        <v>17666.396932003201</v>
      </c>
      <c r="J6" s="65"/>
    </row>
    <row r="7" spans="1:10" ht="31.5" customHeight="1" x14ac:dyDescent="0.4">
      <c r="A7" s="125"/>
      <c r="B7" s="103" t="s">
        <v>88</v>
      </c>
      <c r="C7" s="100">
        <f t="shared" si="0"/>
        <v>0</v>
      </c>
      <c r="D7" s="106">
        <v>0</v>
      </c>
      <c r="E7" s="106">
        <v>0</v>
      </c>
      <c r="F7" s="106">
        <v>0</v>
      </c>
      <c r="G7" s="106">
        <v>0</v>
      </c>
      <c r="H7" s="106">
        <v>0</v>
      </c>
      <c r="I7" s="106">
        <v>0</v>
      </c>
      <c r="J7" s="53"/>
    </row>
    <row r="8" spans="1:10" ht="31.5" hidden="1" customHeight="1" thickTop="1" thickBot="1" x14ac:dyDescent="0.45">
      <c r="A8" s="125"/>
      <c r="B8" s="103" t="s">
        <v>28</v>
      </c>
      <c r="C8" s="100">
        <f t="shared" si="0"/>
        <v>0</v>
      </c>
      <c r="D8" s="101"/>
      <c r="E8" s="101"/>
      <c r="F8" s="101"/>
      <c r="G8" s="101"/>
      <c r="H8" s="101"/>
      <c r="I8" s="101"/>
      <c r="J8" s="53"/>
    </row>
    <row r="9" spans="1:10" ht="32.25" hidden="1" customHeight="1" thickTop="1" thickBot="1" x14ac:dyDescent="0.45">
      <c r="A9" s="125"/>
      <c r="B9" s="103" t="s">
        <v>29</v>
      </c>
      <c r="C9" s="100">
        <f t="shared" si="0"/>
        <v>0</v>
      </c>
      <c r="D9" s="101">
        <v>0</v>
      </c>
      <c r="E9" s="101"/>
      <c r="F9" s="101"/>
      <c r="G9" s="101"/>
      <c r="H9" s="101"/>
      <c r="I9" s="101"/>
      <c r="J9" s="53"/>
    </row>
    <row r="10" spans="1:10" ht="32.25" customHeight="1" outlineLevel="1" x14ac:dyDescent="0.3">
      <c r="A10" s="126">
        <v>0.22</v>
      </c>
      <c r="B10" s="109" t="s">
        <v>30</v>
      </c>
      <c r="C10" s="107"/>
      <c r="D10" s="106">
        <f t="shared" ref="D10:I10" si="2">SUM(D7:D8)*$A$10</f>
        <v>0</v>
      </c>
      <c r="E10" s="106">
        <f t="shared" si="2"/>
        <v>0</v>
      </c>
      <c r="F10" s="106">
        <f t="shared" si="2"/>
        <v>0</v>
      </c>
      <c r="G10" s="106">
        <f t="shared" si="2"/>
        <v>0</v>
      </c>
      <c r="H10" s="106">
        <f t="shared" si="2"/>
        <v>0</v>
      </c>
      <c r="I10" s="106">
        <f t="shared" si="2"/>
        <v>0</v>
      </c>
      <c r="J10" s="53"/>
    </row>
    <row r="11" spans="1:10" ht="32.25" customHeight="1" outlineLevel="1" x14ac:dyDescent="0.3">
      <c r="A11" s="127" t="s">
        <v>8</v>
      </c>
      <c r="B11" s="109" t="s">
        <v>31</v>
      </c>
      <c r="C11" s="107"/>
      <c r="D11" s="106">
        <f>(Input!D14*Input!D15)*Input!D18</f>
        <v>10999.999999999998</v>
      </c>
      <c r="E11" s="106">
        <f>(Input!E14*Input!E15)*Input!E18</f>
        <v>11219.999999999998</v>
      </c>
      <c r="F11" s="106">
        <f>(Input!F14*Input!F15)*Input!F18</f>
        <v>11444.399999999998</v>
      </c>
      <c r="G11" s="106">
        <f>(Input!G14*Input!G15)*Input!G18</f>
        <v>11673.287999999997</v>
      </c>
      <c r="H11" s="106">
        <f>(Input!H14*Input!H15)*Input!H18</f>
        <v>11906.753759999998</v>
      </c>
      <c r="I11" s="106">
        <f>(Input!I14*Input!I15)*Input!I18</f>
        <v>12144.888835199998</v>
      </c>
      <c r="J11" s="53"/>
    </row>
    <row r="12" spans="1:10" ht="32.25" customHeight="1" outlineLevel="1" x14ac:dyDescent="0.3">
      <c r="A12" s="127"/>
      <c r="B12" s="109" t="s">
        <v>32</v>
      </c>
      <c r="C12" s="107"/>
      <c r="D12" s="106">
        <f>-(Input!D30*Input!D31)*Input!D18</f>
        <v>-4620</v>
      </c>
      <c r="E12" s="106">
        <f>-(Input!E30*Input!E31)*Input!E18</f>
        <v>-4712.3999999999996</v>
      </c>
      <c r="F12" s="106">
        <f>-(Input!F30*Input!F31)*Input!F18</f>
        <v>-4806.6480000000001</v>
      </c>
      <c r="G12" s="106">
        <f>-(Input!G30*Input!G31)*Input!G18</f>
        <v>-4902.7809600000001</v>
      </c>
      <c r="H12" s="106">
        <f>-(Input!H30*Input!H31)*Input!H18</f>
        <v>-5000.8365791999995</v>
      </c>
      <c r="I12" s="106">
        <f>-(Input!I30*Input!I31)*Input!I18</f>
        <v>-5100.8533107840003</v>
      </c>
      <c r="J12" s="53"/>
    </row>
    <row r="13" spans="1:10" ht="32.25" customHeight="1" outlineLevel="1" x14ac:dyDescent="0.3">
      <c r="A13" s="127"/>
      <c r="B13" s="109" t="s">
        <v>33</v>
      </c>
      <c r="C13" s="107"/>
      <c r="D13" s="106">
        <f t="shared" ref="D13:I13" si="3">IF(C13+D10+D11+D12&gt;0,0,C13+D10+D11+D12)</f>
        <v>0</v>
      </c>
      <c r="E13" s="106">
        <f t="shared" si="3"/>
        <v>0</v>
      </c>
      <c r="F13" s="106">
        <f t="shared" si="3"/>
        <v>0</v>
      </c>
      <c r="G13" s="106">
        <f t="shared" si="3"/>
        <v>0</v>
      </c>
      <c r="H13" s="106">
        <f t="shared" si="3"/>
        <v>0</v>
      </c>
      <c r="I13" s="106">
        <f t="shared" si="3"/>
        <v>0</v>
      </c>
      <c r="J13" s="53"/>
    </row>
    <row r="14" spans="1:10" ht="32.25" customHeight="1" x14ac:dyDescent="0.4">
      <c r="A14" s="125"/>
      <c r="B14" s="103" t="s">
        <v>34</v>
      </c>
      <c r="C14" s="100" t="s">
        <v>8</v>
      </c>
      <c r="D14" s="101">
        <f>D13</f>
        <v>0</v>
      </c>
      <c r="E14" s="101">
        <f t="shared" ref="E14:I14" si="4">(E13-D13)</f>
        <v>0</v>
      </c>
      <c r="F14" s="101">
        <f t="shared" si="4"/>
        <v>0</v>
      </c>
      <c r="G14" s="101">
        <f t="shared" si="4"/>
        <v>0</v>
      </c>
      <c r="H14" s="101">
        <f t="shared" si="4"/>
        <v>0</v>
      </c>
      <c r="I14" s="101">
        <f t="shared" si="4"/>
        <v>0</v>
      </c>
      <c r="J14" s="53"/>
    </row>
    <row r="15" spans="1:10" ht="32.25" customHeight="1" collapsed="1" x14ac:dyDescent="0.4">
      <c r="A15" s="125"/>
      <c r="B15" s="103" t="s">
        <v>35</v>
      </c>
      <c r="C15" s="100">
        <f t="shared" ref="C15:C24" si="5">SUM(D15:I15)</f>
        <v>-28464.02067607002</v>
      </c>
      <c r="D15" s="101">
        <f t="shared" ref="D15:I15" si="6">D49+D50</f>
        <v>-4512.2820000000002</v>
      </c>
      <c r="E15" s="101">
        <f t="shared" si="6"/>
        <v>-4602.5276400000012</v>
      </c>
      <c r="F15" s="101">
        <f t="shared" si="6"/>
        <v>-4694.5781927999997</v>
      </c>
      <c r="G15" s="101">
        <f t="shared" si="6"/>
        <v>-4788.469756655998</v>
      </c>
      <c r="H15" s="101">
        <f t="shared" si="6"/>
        <v>-4884.2391517891192</v>
      </c>
      <c r="I15" s="101">
        <f t="shared" si="6"/>
        <v>-4981.923934824903</v>
      </c>
      <c r="J15" s="53"/>
    </row>
    <row r="16" spans="1:10" s="36" customFormat="1" ht="32.25" customHeight="1" x14ac:dyDescent="0.3">
      <c r="A16" s="37"/>
      <c r="B16" s="38" t="s">
        <v>36</v>
      </c>
      <c r="C16" s="39">
        <f t="shared" si="5"/>
        <v>72472.222856093169</v>
      </c>
      <c r="D16" s="39">
        <f>D6+D7+D8+D9+D14+D15</f>
        <v>11488.718000000001</v>
      </c>
      <c r="E16" s="39">
        <f t="shared" ref="E16:I16" si="7">E6+E7+E8+E9+E14+E15</f>
        <v>11718.492360000004</v>
      </c>
      <c r="F16" s="39">
        <f t="shared" si="7"/>
        <v>11952.8622072</v>
      </c>
      <c r="G16" s="39">
        <f t="shared" si="7"/>
        <v>12191.919451343994</v>
      </c>
      <c r="H16" s="39">
        <f t="shared" si="7"/>
        <v>12435.757840370879</v>
      </c>
      <c r="I16" s="39">
        <f t="shared" si="7"/>
        <v>12684.472997178298</v>
      </c>
      <c r="J16" s="65"/>
    </row>
    <row r="17" spans="1:44" s="40" customFormat="1" ht="32.25" customHeight="1" x14ac:dyDescent="0.3">
      <c r="A17" s="123"/>
      <c r="B17" s="103" t="s">
        <v>37</v>
      </c>
      <c r="C17" s="100">
        <f t="shared" si="5"/>
        <v>10</v>
      </c>
      <c r="D17" s="101">
        <v>10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53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</row>
    <row r="18" spans="1:44" s="40" customFormat="1" ht="32.25" customHeight="1" x14ac:dyDescent="0.4">
      <c r="A18" s="128"/>
      <c r="B18" s="103" t="s">
        <v>38</v>
      </c>
      <c r="C18" s="100">
        <f t="shared" si="5"/>
        <v>0</v>
      </c>
      <c r="D18" s="101">
        <f>D63</f>
        <v>0</v>
      </c>
      <c r="E18" s="101">
        <f>E63-D63</f>
        <v>0</v>
      </c>
      <c r="F18" s="101">
        <f>F63-E63</f>
        <v>0</v>
      </c>
      <c r="G18" s="101">
        <f>G63-F63</f>
        <v>0</v>
      </c>
      <c r="H18" s="101">
        <f>H63-G63</f>
        <v>0</v>
      </c>
      <c r="I18" s="101">
        <f>I63-H63</f>
        <v>0</v>
      </c>
      <c r="J18" s="53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</row>
    <row r="19" spans="1:44" s="40" customFormat="1" ht="32.25" customHeight="1" x14ac:dyDescent="0.4">
      <c r="A19" s="125"/>
      <c r="B19" s="103" t="s">
        <v>39</v>
      </c>
      <c r="C19" s="100">
        <f t="shared" si="5"/>
        <v>0</v>
      </c>
      <c r="D19" s="101">
        <f>(-D7-D9)*0.7</f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53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</row>
    <row r="20" spans="1:44" s="36" customFormat="1" ht="32.25" customHeight="1" x14ac:dyDescent="0.3">
      <c r="A20" s="37"/>
      <c r="B20" s="38" t="s">
        <v>85</v>
      </c>
      <c r="C20" s="39">
        <f t="shared" si="5"/>
        <v>72482.222856093169</v>
      </c>
      <c r="D20" s="39">
        <f t="shared" ref="D20:I20" si="8">SUM(D16:D19)</f>
        <v>11498.718000000001</v>
      </c>
      <c r="E20" s="39">
        <f t="shared" si="8"/>
        <v>11718.492360000004</v>
      </c>
      <c r="F20" s="39">
        <f t="shared" si="8"/>
        <v>11952.8622072</v>
      </c>
      <c r="G20" s="39">
        <f t="shared" si="8"/>
        <v>12191.919451343994</v>
      </c>
      <c r="H20" s="39">
        <f t="shared" si="8"/>
        <v>12435.757840370879</v>
      </c>
      <c r="I20" s="39">
        <f t="shared" si="8"/>
        <v>12684.472997178298</v>
      </c>
      <c r="J20" s="65"/>
    </row>
    <row r="21" spans="1:44" s="41" customFormat="1" ht="32.25" customHeight="1" x14ac:dyDescent="0.3">
      <c r="A21" s="129">
        <f>C72</f>
        <v>5.1999999999999998E-2</v>
      </c>
      <c r="B21" s="103" t="s">
        <v>40</v>
      </c>
      <c r="C21" s="39">
        <f t="shared" si="5"/>
        <v>0</v>
      </c>
      <c r="D21" s="102">
        <f t="shared" ref="D21:I21" si="9">-D72</f>
        <v>0</v>
      </c>
      <c r="E21" s="102">
        <f t="shared" si="9"/>
        <v>0</v>
      </c>
      <c r="F21" s="102">
        <f t="shared" si="9"/>
        <v>0</v>
      </c>
      <c r="G21" s="102">
        <f t="shared" si="9"/>
        <v>0</v>
      </c>
      <c r="H21" s="102">
        <f t="shared" si="9"/>
        <v>0</v>
      </c>
      <c r="I21" s="102">
        <f t="shared" si="9"/>
        <v>0</v>
      </c>
      <c r="J21" s="105"/>
    </row>
    <row r="22" spans="1:44" s="41" customFormat="1" ht="32.25" customHeight="1" x14ac:dyDescent="0.3">
      <c r="A22" s="130"/>
      <c r="B22" s="103" t="s">
        <v>41</v>
      </c>
      <c r="C22" s="39">
        <f t="shared" si="5"/>
        <v>0</v>
      </c>
      <c r="D22" s="102">
        <f t="shared" ref="D22:I22" si="10">-D71</f>
        <v>0</v>
      </c>
      <c r="E22" s="102">
        <f t="shared" si="10"/>
        <v>0</v>
      </c>
      <c r="F22" s="102">
        <f t="shared" si="10"/>
        <v>0</v>
      </c>
      <c r="G22" s="102">
        <f t="shared" si="10"/>
        <v>0</v>
      </c>
      <c r="H22" s="102">
        <f t="shared" si="10"/>
        <v>0</v>
      </c>
      <c r="I22" s="102">
        <f t="shared" si="10"/>
        <v>0</v>
      </c>
      <c r="J22" s="105"/>
    </row>
    <row r="23" spans="1:44" s="41" customFormat="1" ht="32.25" customHeight="1" x14ac:dyDescent="0.3">
      <c r="A23" s="129">
        <v>0.06</v>
      </c>
      <c r="B23" s="103" t="s">
        <v>42</v>
      </c>
      <c r="C23" s="39">
        <f t="shared" si="5"/>
        <v>0</v>
      </c>
      <c r="D23" s="102">
        <f>-D63/2*$A$23</f>
        <v>0</v>
      </c>
      <c r="E23" s="102">
        <f>-(E63+D63)/2*$A$23</f>
        <v>0</v>
      </c>
      <c r="F23" s="102">
        <f>-(F63+E63)/2*$A$23</f>
        <v>0</v>
      </c>
      <c r="G23" s="102">
        <f>-(G63+F63)/2*$A$23</f>
        <v>0</v>
      </c>
      <c r="H23" s="102">
        <f>-(H63+G63)/2*$A$23</f>
        <v>0</v>
      </c>
      <c r="I23" s="102">
        <f>-(I63+H63)/2*$A$23</f>
        <v>0</v>
      </c>
      <c r="J23" s="105"/>
    </row>
    <row r="24" spans="1:44" s="36" customFormat="1" ht="32.25" customHeight="1" collapsed="1" x14ac:dyDescent="0.3">
      <c r="A24" s="108"/>
      <c r="B24" s="38" t="s">
        <v>43</v>
      </c>
      <c r="C24" s="39">
        <f t="shared" si="5"/>
        <v>72482.222856093169</v>
      </c>
      <c r="D24" s="39">
        <f t="shared" ref="D24:I24" si="11">SUM(D20:D23)</f>
        <v>11498.718000000001</v>
      </c>
      <c r="E24" s="39">
        <f t="shared" si="11"/>
        <v>11718.492360000004</v>
      </c>
      <c r="F24" s="39">
        <f t="shared" si="11"/>
        <v>11952.8622072</v>
      </c>
      <c r="G24" s="39">
        <f t="shared" si="11"/>
        <v>12191.919451343994</v>
      </c>
      <c r="H24" s="39">
        <f t="shared" si="11"/>
        <v>12435.757840370879</v>
      </c>
      <c r="I24" s="39">
        <f t="shared" si="11"/>
        <v>12684.472997178298</v>
      </c>
    </row>
    <row r="25" spans="1:44" s="45" customFormat="1" ht="32.25" hidden="1" customHeight="1" outlineLevel="1" x14ac:dyDescent="0.4">
      <c r="A25" s="42"/>
      <c r="B25" s="43"/>
      <c r="C25" s="42" t="s">
        <v>44</v>
      </c>
      <c r="D25" s="44">
        <f>D24</f>
        <v>11498.718000000001</v>
      </c>
      <c r="E25" s="44">
        <f>D25+E24</f>
        <v>23217.210360000005</v>
      </c>
      <c r="F25" s="44">
        <f t="shared" ref="F25:I25" si="12">E25+F24</f>
        <v>35170.072567200004</v>
      </c>
      <c r="G25" s="44">
        <f t="shared" si="12"/>
        <v>47361.992018543999</v>
      </c>
      <c r="H25" s="44">
        <f t="shared" si="12"/>
        <v>59797.749858914874</v>
      </c>
      <c r="I25" s="44">
        <f t="shared" si="12"/>
        <v>72482.222856093169</v>
      </c>
    </row>
    <row r="26" spans="1:44" s="45" customFormat="1" ht="32.25" hidden="1" customHeight="1" outlineLevel="1" x14ac:dyDescent="0.4">
      <c r="A26" s="42"/>
      <c r="B26" s="43"/>
      <c r="C26" s="42" t="s">
        <v>45</v>
      </c>
      <c r="D26" s="44">
        <f t="shared" ref="D26:I26" si="13">D25-D58</f>
        <v>0</v>
      </c>
      <c r="E26" s="44">
        <f t="shared" si="13"/>
        <v>0</v>
      </c>
      <c r="F26" s="44">
        <f t="shared" si="13"/>
        <v>0</v>
      </c>
      <c r="G26" s="44">
        <f t="shared" si="13"/>
        <v>0</v>
      </c>
      <c r="H26" s="44">
        <f t="shared" si="13"/>
        <v>0</v>
      </c>
      <c r="I26" s="44">
        <f t="shared" si="13"/>
        <v>0</v>
      </c>
    </row>
    <row r="27" spans="1:44" s="45" customFormat="1" ht="32.25" customHeight="1" collapsed="1" x14ac:dyDescent="0.4">
      <c r="A27" s="42"/>
      <c r="B27" s="1" t="s">
        <v>8</v>
      </c>
      <c r="C27" s="2" t="s">
        <v>8</v>
      </c>
      <c r="D27" s="2" t="s">
        <v>8</v>
      </c>
      <c r="E27" s="3" t="s">
        <v>8</v>
      </c>
      <c r="F27" s="46"/>
      <c r="G27" s="44"/>
      <c r="H27" s="44"/>
      <c r="I27" s="44"/>
    </row>
    <row r="28" spans="1:44" ht="50.25" customHeight="1" x14ac:dyDescent="0.3">
      <c r="A28" s="4" t="s">
        <v>8</v>
      </c>
      <c r="B28" s="31" t="s">
        <v>87</v>
      </c>
      <c r="C28" s="32" t="s">
        <v>46</v>
      </c>
      <c r="D28" s="33">
        <f>D1</f>
        <v>1</v>
      </c>
      <c r="E28" s="33">
        <v>2</v>
      </c>
      <c r="F28" s="33">
        <f t="shared" ref="F28:I28" si="14">F1</f>
        <v>3</v>
      </c>
      <c r="G28" s="33">
        <f t="shared" si="14"/>
        <v>4</v>
      </c>
      <c r="H28" s="33">
        <f t="shared" si="14"/>
        <v>5</v>
      </c>
      <c r="I28" s="33">
        <f t="shared" si="14"/>
        <v>6</v>
      </c>
    </row>
    <row r="29" spans="1:44" s="40" customFormat="1" ht="32.25" customHeight="1" x14ac:dyDescent="0.3">
      <c r="A29" s="47"/>
      <c r="B29" s="99" t="s">
        <v>47</v>
      </c>
      <c r="C29" s="102">
        <f>C7+C9</f>
        <v>0</v>
      </c>
      <c r="D29" s="102">
        <f t="shared" ref="D29:I29" si="15">D16-D7-D9</f>
        <v>11488.718000000001</v>
      </c>
      <c r="E29" s="102">
        <f t="shared" si="15"/>
        <v>11718.492360000004</v>
      </c>
      <c r="F29" s="102">
        <f t="shared" si="15"/>
        <v>11952.8622072</v>
      </c>
      <c r="G29" s="102">
        <f t="shared" si="15"/>
        <v>12191.919451343994</v>
      </c>
      <c r="H29" s="102">
        <f t="shared" si="15"/>
        <v>12435.757840370879</v>
      </c>
      <c r="I29" s="102">
        <f t="shared" si="15"/>
        <v>12684.472997178298</v>
      </c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</row>
    <row r="30" spans="1:44" s="40" customFormat="1" ht="32.25" customHeight="1" x14ac:dyDescent="0.3">
      <c r="A30" s="47"/>
      <c r="B30" s="99" t="s">
        <v>48</v>
      </c>
      <c r="C30" s="104">
        <v>1</v>
      </c>
      <c r="D30" s="104">
        <f t="shared" ref="D30:I30" si="16">C30*(1+$C$33)</f>
        <v>1.0537000000000001</v>
      </c>
      <c r="E30" s="104">
        <f t="shared" si="16"/>
        <v>1.1102836900000002</v>
      </c>
      <c r="F30" s="104">
        <f t="shared" si="16"/>
        <v>1.1699059241530003</v>
      </c>
      <c r="G30" s="104">
        <f t="shared" si="16"/>
        <v>1.2327298722800166</v>
      </c>
      <c r="H30" s="104">
        <f t="shared" si="16"/>
        <v>1.2989274664214536</v>
      </c>
      <c r="I30" s="104">
        <f t="shared" si="16"/>
        <v>1.3686798713682857</v>
      </c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</row>
    <row r="31" spans="1:44" s="40" customFormat="1" ht="32.25" customHeight="1" x14ac:dyDescent="0.3">
      <c r="A31" s="47"/>
      <c r="B31" s="99" t="s">
        <v>49</v>
      </c>
      <c r="C31" s="102">
        <f t="shared" ref="C31:I31" si="17">C29/C30</f>
        <v>0</v>
      </c>
      <c r="D31" s="102">
        <f t="shared" si="17"/>
        <v>10903.215336433519</v>
      </c>
      <c r="E31" s="102">
        <f t="shared" si="17"/>
        <v>10554.502840620853</v>
      </c>
      <c r="F31" s="102">
        <f>F29/F30</f>
        <v>10216.943055360411</v>
      </c>
      <c r="G31" s="102">
        <f t="shared" si="17"/>
        <v>9890.1792886662352</v>
      </c>
      <c r="H31" s="102">
        <f t="shared" si="17"/>
        <v>9573.8662564672704</v>
      </c>
      <c r="I31" s="102">
        <f t="shared" si="17"/>
        <v>9267.669717753266</v>
      </c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</row>
    <row r="32" spans="1:44" s="40" customFormat="1" ht="32.25" hidden="1" customHeight="1" x14ac:dyDescent="0.3">
      <c r="A32" s="47"/>
      <c r="B32" s="99" t="s">
        <v>50</v>
      </c>
      <c r="C32" s="48" cm="1">
        <f t="array" ref="C32">INDEX($D$28:$CH$28,MATCH(TRUE,INDEX($D$32:$CH$32&gt;0,),0))</f>
        <v>1</v>
      </c>
      <c r="D32" s="49">
        <f>SUM($C31:D31)</f>
        <v>10903.215336433519</v>
      </c>
      <c r="E32" s="49">
        <f>SUM($C31:E31)</f>
        <v>21457.718177054372</v>
      </c>
      <c r="F32" s="49">
        <f>SUM($C31:F31)</f>
        <v>31674.661232414783</v>
      </c>
      <c r="G32" s="49">
        <f>SUM($C31:G31)</f>
        <v>41564.840521081016</v>
      </c>
      <c r="H32" s="49">
        <f>SUM($C31:H31)</f>
        <v>51138.706777548286</v>
      </c>
      <c r="I32" s="49">
        <f>SUM($C31:I31)</f>
        <v>60406.376495301549</v>
      </c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</row>
    <row r="33" spans="1:44" s="40" customFormat="1" ht="32.25" customHeight="1" x14ac:dyDescent="0.3">
      <c r="A33" s="50"/>
      <c r="B33" s="99" t="s">
        <v>82</v>
      </c>
      <c r="C33" s="134">
        <v>5.3699999999999998E-2</v>
      </c>
      <c r="D33" s="51"/>
      <c r="E33" s="52"/>
      <c r="F33" s="52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</row>
    <row r="34" spans="1:44" s="40" customFormat="1" ht="32.25" customHeight="1" x14ac:dyDescent="0.3">
      <c r="A34" s="50"/>
      <c r="B34" s="31" t="s">
        <v>51</v>
      </c>
      <c r="C34" s="63">
        <f>C29+NPV(C33,D29:CH29)</f>
        <v>60406.376495301556</v>
      </c>
      <c r="D34" s="53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</row>
    <row r="35" spans="1:44" s="40" customFormat="1" ht="32.25" customHeight="1" x14ac:dyDescent="0.3">
      <c r="A35" s="54"/>
      <c r="B35" s="31" t="s">
        <v>84</v>
      </c>
      <c r="C35" s="63">
        <f>C34/Input!A2</f>
        <v>10067.729415883592</v>
      </c>
      <c r="D35" s="55"/>
      <c r="E35" s="55"/>
      <c r="F35" s="55"/>
      <c r="G35" s="55"/>
      <c r="H35" s="55"/>
      <c r="I35" s="55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</row>
    <row r="36" spans="1:44" ht="32.25" customHeight="1" x14ac:dyDescent="0.3">
      <c r="A36" s="56"/>
      <c r="B36" s="57"/>
      <c r="C36" s="56"/>
      <c r="D36" s="58"/>
      <c r="E36" s="58"/>
      <c r="F36" s="58"/>
      <c r="G36" s="58"/>
      <c r="H36" s="58"/>
      <c r="I36" s="58"/>
    </row>
    <row r="37" spans="1:44" ht="50.25" customHeight="1" x14ac:dyDescent="0.3">
      <c r="A37" s="4" t="s">
        <v>8</v>
      </c>
      <c r="B37" s="31" t="s">
        <v>52</v>
      </c>
      <c r="C37" s="32" t="s">
        <v>1</v>
      </c>
      <c r="D37" s="33">
        <v>1</v>
      </c>
      <c r="E37" s="33">
        <v>2</v>
      </c>
      <c r="F37" s="33">
        <v>3</v>
      </c>
      <c r="G37" s="33">
        <v>4</v>
      </c>
      <c r="H37" s="33">
        <v>5</v>
      </c>
      <c r="I37" s="33">
        <v>6</v>
      </c>
    </row>
    <row r="38" spans="1:44" s="36" customFormat="1" ht="32.25" customHeight="1" x14ac:dyDescent="0.3">
      <c r="A38" s="93"/>
      <c r="B38" s="99" t="s">
        <v>23</v>
      </c>
      <c r="C38" s="100">
        <f>SUM(D38:I38)</f>
        <v>315406.04816000001</v>
      </c>
      <c r="D38" s="101">
        <f t="shared" ref="D38:I39" si="18">D2</f>
        <v>50000</v>
      </c>
      <c r="E38" s="101">
        <f t="shared" si="18"/>
        <v>51000</v>
      </c>
      <c r="F38" s="101">
        <f t="shared" si="18"/>
        <v>52020</v>
      </c>
      <c r="G38" s="101">
        <f t="shared" si="18"/>
        <v>53060.399999999994</v>
      </c>
      <c r="H38" s="101">
        <f t="shared" si="18"/>
        <v>54121.608</v>
      </c>
      <c r="I38" s="101">
        <f t="shared" si="18"/>
        <v>55204.040160000004</v>
      </c>
    </row>
    <row r="39" spans="1:44" s="36" customFormat="1" ht="32.25" customHeight="1" x14ac:dyDescent="0.3">
      <c r="A39" s="94"/>
      <c r="B39" s="99" t="s">
        <v>53</v>
      </c>
      <c r="C39" s="39">
        <f>SUM(D39:I39)</f>
        <v>0</v>
      </c>
      <c r="D39" s="102">
        <f t="shared" si="18"/>
        <v>0</v>
      </c>
      <c r="E39" s="102">
        <f t="shared" si="18"/>
        <v>0</v>
      </c>
      <c r="F39" s="102">
        <f t="shared" si="18"/>
        <v>0</v>
      </c>
      <c r="G39" s="102">
        <f t="shared" si="18"/>
        <v>0</v>
      </c>
      <c r="H39" s="102">
        <f t="shared" si="18"/>
        <v>0</v>
      </c>
      <c r="I39" s="102">
        <f t="shared" si="18"/>
        <v>0</v>
      </c>
    </row>
    <row r="40" spans="1:44" s="36" customFormat="1" ht="32.25" customHeight="1" x14ac:dyDescent="0.3">
      <c r="A40" s="95"/>
      <c r="B40" s="38" t="s">
        <v>54</v>
      </c>
      <c r="C40" s="39"/>
      <c r="D40" s="39">
        <f>SUM(D38:D39)</f>
        <v>50000</v>
      </c>
      <c r="E40" s="39">
        <f t="shared" ref="E40:I40" si="19">SUM(E38:E39)</f>
        <v>51000</v>
      </c>
      <c r="F40" s="39">
        <f t="shared" si="19"/>
        <v>52020</v>
      </c>
      <c r="G40" s="39">
        <f t="shared" si="19"/>
        <v>53060.399999999994</v>
      </c>
      <c r="H40" s="39">
        <f t="shared" si="19"/>
        <v>54121.608</v>
      </c>
      <c r="I40" s="39">
        <f t="shared" si="19"/>
        <v>55204.040160000004</v>
      </c>
    </row>
    <row r="41" spans="1:44" s="36" customFormat="1" ht="32.25" customHeight="1" x14ac:dyDescent="0.3">
      <c r="A41" s="93"/>
      <c r="B41" s="103" t="s">
        <v>25</v>
      </c>
      <c r="C41" s="100">
        <f t="shared" ref="C41:C51" si="20">SUM(D41:I41)</f>
        <v>-63074.901511036805</v>
      </c>
      <c r="D41" s="101">
        <f t="shared" ref="D41:I42" si="21">D4</f>
        <v>-9999</v>
      </c>
      <c r="E41" s="101">
        <f t="shared" si="21"/>
        <v>-10198.98</v>
      </c>
      <c r="F41" s="101">
        <f t="shared" si="21"/>
        <v>-10402.9596</v>
      </c>
      <c r="G41" s="101">
        <f t="shared" si="21"/>
        <v>-10611.018792000001</v>
      </c>
      <c r="H41" s="101">
        <f t="shared" si="21"/>
        <v>-10823.239167840002</v>
      </c>
      <c r="I41" s="101">
        <f t="shared" si="21"/>
        <v>-11039.703951196801</v>
      </c>
    </row>
    <row r="42" spans="1:44" s="36" customFormat="1" ht="32.25" customHeight="1" x14ac:dyDescent="0.3">
      <c r="A42" s="96"/>
      <c r="B42" s="99" t="s">
        <v>26</v>
      </c>
      <c r="C42" s="100">
        <f t="shared" si="20"/>
        <v>-151394.90311680001</v>
      </c>
      <c r="D42" s="101">
        <f t="shared" si="21"/>
        <v>-24000</v>
      </c>
      <c r="E42" s="101">
        <f t="shared" si="21"/>
        <v>-24480</v>
      </c>
      <c r="F42" s="101">
        <f t="shared" si="21"/>
        <v>-24969.599999999999</v>
      </c>
      <c r="G42" s="101">
        <f t="shared" si="21"/>
        <v>-25468.991999999998</v>
      </c>
      <c r="H42" s="101">
        <f t="shared" si="21"/>
        <v>-25978.37184</v>
      </c>
      <c r="I42" s="101">
        <f t="shared" si="21"/>
        <v>-26497.9392768</v>
      </c>
    </row>
    <row r="43" spans="1:44" s="36" customFormat="1" ht="32.25" customHeight="1" x14ac:dyDescent="0.3">
      <c r="A43" s="95"/>
      <c r="B43" s="38" t="s">
        <v>55</v>
      </c>
      <c r="C43" s="39">
        <f t="shared" si="20"/>
        <v>100936.24353216319</v>
      </c>
      <c r="D43" s="39">
        <f>SUM(D40:D42)</f>
        <v>16001</v>
      </c>
      <c r="E43" s="39">
        <f t="shared" ref="E43:I43" si="22">SUM(E40:E42)</f>
        <v>16321.020000000004</v>
      </c>
      <c r="F43" s="39">
        <f t="shared" si="22"/>
        <v>16647.440399999999</v>
      </c>
      <c r="G43" s="39">
        <f t="shared" si="22"/>
        <v>16980.389207999993</v>
      </c>
      <c r="H43" s="39">
        <f t="shared" si="22"/>
        <v>17319.996992159999</v>
      </c>
      <c r="I43" s="39">
        <f t="shared" si="22"/>
        <v>17666.396932003201</v>
      </c>
    </row>
    <row r="44" spans="1:44" s="36" customFormat="1" ht="32.25" customHeight="1" x14ac:dyDescent="0.3">
      <c r="A44" s="97"/>
      <c r="B44" s="99" t="s">
        <v>56</v>
      </c>
      <c r="C44" s="100">
        <f t="shared" si="20"/>
        <v>0</v>
      </c>
      <c r="D44" s="101">
        <v>0</v>
      </c>
      <c r="E44" s="101">
        <f t="shared" ref="E44:I44" si="23">($C$7)/11</f>
        <v>0</v>
      </c>
      <c r="F44" s="101">
        <f t="shared" si="23"/>
        <v>0</v>
      </c>
      <c r="G44" s="101">
        <f t="shared" si="23"/>
        <v>0</v>
      </c>
      <c r="H44" s="101">
        <f t="shared" si="23"/>
        <v>0</v>
      </c>
      <c r="I44" s="101">
        <f t="shared" si="23"/>
        <v>0</v>
      </c>
    </row>
    <row r="45" spans="1:44" s="36" customFormat="1" ht="32.25" hidden="1" customHeight="1" x14ac:dyDescent="0.3">
      <c r="A45" s="94"/>
      <c r="B45" s="99" t="s">
        <v>29</v>
      </c>
      <c r="C45" s="100">
        <f t="shared" si="20"/>
        <v>0</v>
      </c>
      <c r="D45" s="101">
        <v>0</v>
      </c>
      <c r="E45" s="101">
        <f t="shared" ref="E45:I45" si="24">$C$9/11</f>
        <v>0</v>
      </c>
      <c r="F45" s="101">
        <f t="shared" si="24"/>
        <v>0</v>
      </c>
      <c r="G45" s="101">
        <f t="shared" si="24"/>
        <v>0</v>
      </c>
      <c r="H45" s="101">
        <f t="shared" si="24"/>
        <v>0</v>
      </c>
      <c r="I45" s="101">
        <f t="shared" si="24"/>
        <v>0</v>
      </c>
    </row>
    <row r="46" spans="1:44" s="36" customFormat="1" ht="32.25" customHeight="1" x14ac:dyDescent="0.3">
      <c r="A46" s="95"/>
      <c r="B46" s="38" t="s">
        <v>57</v>
      </c>
      <c r="C46" s="39">
        <f t="shared" si="20"/>
        <v>100936.24353216319</v>
      </c>
      <c r="D46" s="39">
        <f>SUM(D43:D45)</f>
        <v>16001</v>
      </c>
      <c r="E46" s="39">
        <f t="shared" ref="E46:H46" si="25">SUM(E43:E45)</f>
        <v>16321.020000000004</v>
      </c>
      <c r="F46" s="39">
        <f t="shared" si="25"/>
        <v>16647.440399999999</v>
      </c>
      <c r="G46" s="39">
        <f t="shared" si="25"/>
        <v>16980.389207999993</v>
      </c>
      <c r="H46" s="39">
        <f t="shared" si="25"/>
        <v>17319.996992159999</v>
      </c>
      <c r="I46" s="39">
        <f>SUM(I43:I45)</f>
        <v>17666.396932003201</v>
      </c>
    </row>
    <row r="47" spans="1:44" s="59" customFormat="1" ht="32.25" customHeight="1" x14ac:dyDescent="0.3">
      <c r="A47" s="98"/>
      <c r="B47" s="103" t="s">
        <v>58</v>
      </c>
      <c r="C47" s="39">
        <f t="shared" si="20"/>
        <v>0</v>
      </c>
      <c r="D47" s="102">
        <f t="shared" ref="D47:I47" si="26">-D72+D23</f>
        <v>0</v>
      </c>
      <c r="E47" s="102">
        <f t="shared" si="26"/>
        <v>0</v>
      </c>
      <c r="F47" s="102">
        <f t="shared" si="26"/>
        <v>0</v>
      </c>
      <c r="G47" s="102">
        <f t="shared" si="26"/>
        <v>0</v>
      </c>
      <c r="H47" s="102">
        <f t="shared" si="26"/>
        <v>0</v>
      </c>
      <c r="I47" s="102">
        <f t="shared" si="26"/>
        <v>0</v>
      </c>
    </row>
    <row r="48" spans="1:44" s="36" customFormat="1" ht="32.25" customHeight="1" x14ac:dyDescent="0.3">
      <c r="A48" s="32"/>
      <c r="B48" s="38" t="s">
        <v>59</v>
      </c>
      <c r="C48" s="39">
        <f t="shared" si="20"/>
        <v>100936.24353216319</v>
      </c>
      <c r="D48" s="39">
        <f t="shared" ref="D48:I48" si="27">SUM(D46:D47)</f>
        <v>16001</v>
      </c>
      <c r="E48" s="39">
        <f t="shared" si="27"/>
        <v>16321.020000000004</v>
      </c>
      <c r="F48" s="39">
        <f t="shared" si="27"/>
        <v>16647.440399999999</v>
      </c>
      <c r="G48" s="39">
        <f t="shared" si="27"/>
        <v>16980.389207999993</v>
      </c>
      <c r="H48" s="39">
        <f t="shared" si="27"/>
        <v>17319.996992159999</v>
      </c>
      <c r="I48" s="39">
        <f t="shared" si="27"/>
        <v>17666.396932003201</v>
      </c>
    </row>
    <row r="49" spans="1:10" ht="32.25" customHeight="1" x14ac:dyDescent="0.3">
      <c r="A49" s="131">
        <v>0.24</v>
      </c>
      <c r="B49" s="99" t="s">
        <v>60</v>
      </c>
      <c r="C49" s="39">
        <f t="shared" si="20"/>
        <v>-24224.698447719165</v>
      </c>
      <c r="D49" s="102">
        <f t="shared" ref="D49:I49" si="28">-IF(D48&lt;0,0,D48*$A$49)</f>
        <v>-3840.24</v>
      </c>
      <c r="E49" s="102">
        <f t="shared" si="28"/>
        <v>-3917.044800000001</v>
      </c>
      <c r="F49" s="102">
        <f t="shared" si="28"/>
        <v>-3995.3856959999998</v>
      </c>
      <c r="G49" s="102">
        <f t="shared" si="28"/>
        <v>-4075.2934099199983</v>
      </c>
      <c r="H49" s="102">
        <f t="shared" si="28"/>
        <v>-4156.7992781183993</v>
      </c>
      <c r="I49" s="102">
        <f t="shared" si="28"/>
        <v>-4239.935263680768</v>
      </c>
    </row>
    <row r="50" spans="1:10" ht="32.25" customHeight="1" x14ac:dyDescent="0.3">
      <c r="A50" s="132">
        <v>4.2000000000000003E-2</v>
      </c>
      <c r="B50" s="99" t="s">
        <v>61</v>
      </c>
      <c r="C50" s="39">
        <f t="shared" si="20"/>
        <v>-4239.3222283508549</v>
      </c>
      <c r="D50" s="102">
        <f t="shared" ref="D50:I50" si="29">-IF((D46)&lt;0,0,(D46)*$A$50)</f>
        <v>-672.04200000000003</v>
      </c>
      <c r="E50" s="102">
        <f t="shared" si="29"/>
        <v>-685.48284000000024</v>
      </c>
      <c r="F50" s="102">
        <f t="shared" si="29"/>
        <v>-699.19249680000007</v>
      </c>
      <c r="G50" s="102">
        <f t="shared" si="29"/>
        <v>-713.1763467359998</v>
      </c>
      <c r="H50" s="102">
        <f t="shared" si="29"/>
        <v>-727.43987367071998</v>
      </c>
      <c r="I50" s="102">
        <f t="shared" si="29"/>
        <v>-741.98867114413451</v>
      </c>
    </row>
    <row r="51" spans="1:10" s="36" customFormat="1" ht="32.25" customHeight="1" x14ac:dyDescent="0.3">
      <c r="A51" s="60"/>
      <c r="B51" s="38" t="s">
        <v>62</v>
      </c>
      <c r="C51" s="39">
        <f t="shared" si="20"/>
        <v>72472.222856093169</v>
      </c>
      <c r="D51" s="39">
        <f>SUM(D48:D50)</f>
        <v>11488.718000000001</v>
      </c>
      <c r="E51" s="39">
        <f t="shared" ref="E51:I51" si="30">SUM(E48:E50)</f>
        <v>11718.492360000002</v>
      </c>
      <c r="F51" s="39">
        <f t="shared" si="30"/>
        <v>11952.8622072</v>
      </c>
      <c r="G51" s="39">
        <f t="shared" si="30"/>
        <v>12191.919451343994</v>
      </c>
      <c r="H51" s="39">
        <f t="shared" si="30"/>
        <v>12435.757840370878</v>
      </c>
      <c r="I51" s="39">
        <f t="shared" si="30"/>
        <v>12684.4729971783</v>
      </c>
    </row>
    <row r="52" spans="1:10" s="36" customFormat="1" ht="32.25" customHeight="1" x14ac:dyDescent="0.3">
      <c r="A52" s="61"/>
      <c r="B52" s="62" t="s">
        <v>83</v>
      </c>
      <c r="C52" s="63">
        <f>C51/Input!A2</f>
        <v>12078.703809348861</v>
      </c>
      <c r="D52" s="64"/>
      <c r="E52" s="64"/>
      <c r="F52" s="64"/>
      <c r="G52" s="64"/>
      <c r="H52" s="64"/>
      <c r="I52" s="64"/>
      <c r="J52" s="65"/>
    </row>
    <row r="53" spans="1:10" s="36" customFormat="1" ht="32.25" customHeight="1" x14ac:dyDescent="0.3">
      <c r="A53" s="61"/>
      <c r="B53" s="62" t="s">
        <v>89</v>
      </c>
      <c r="C53" s="63">
        <f>C43/Input!A2</f>
        <v>16822.707255360532</v>
      </c>
      <c r="D53" s="64"/>
      <c r="E53" s="64"/>
      <c r="F53" s="64"/>
      <c r="G53" s="64"/>
      <c r="H53" s="64"/>
      <c r="I53" s="64"/>
      <c r="J53" s="65"/>
    </row>
    <row r="54" spans="1:10" ht="32.25" customHeight="1" x14ac:dyDescent="0.3">
      <c r="A54" s="66"/>
      <c r="B54" s="67"/>
      <c r="C54" s="66"/>
      <c r="D54" s="68"/>
      <c r="E54" s="68"/>
      <c r="F54" s="68"/>
      <c r="G54" s="68"/>
      <c r="H54" s="69"/>
      <c r="I54" s="69"/>
      <c r="J54" s="53"/>
    </row>
    <row r="55" spans="1:10" ht="50.25" customHeight="1" x14ac:dyDescent="0.3">
      <c r="A55" s="32" t="s">
        <v>8</v>
      </c>
      <c r="B55" s="31" t="s">
        <v>63</v>
      </c>
      <c r="C55" s="32"/>
      <c r="D55" s="33">
        <v>1</v>
      </c>
      <c r="E55" s="33">
        <v>2</v>
      </c>
      <c r="F55" s="33">
        <v>3</v>
      </c>
      <c r="G55" s="33">
        <v>4</v>
      </c>
      <c r="H55" s="33">
        <v>5</v>
      </c>
      <c r="I55" s="33">
        <v>6</v>
      </c>
    </row>
    <row r="56" spans="1:10" s="45" customFormat="1" ht="32.25" customHeight="1" x14ac:dyDescent="0.4">
      <c r="A56" s="70"/>
      <c r="B56" s="103" t="s">
        <v>64</v>
      </c>
      <c r="C56" s="71"/>
      <c r="D56" s="102">
        <f>-SUM(D7:D8)+D44</f>
        <v>0</v>
      </c>
      <c r="E56" s="102">
        <f>-SUM(E7:E8)+E44+E9+D56</f>
        <v>0</v>
      </c>
      <c r="F56" s="102">
        <f>-SUM(F7:F8)+F44+F9+E56</f>
        <v>0</v>
      </c>
      <c r="G56" s="102">
        <f>-SUM(G7:G8)+G44+G9+F56</f>
        <v>0</v>
      </c>
      <c r="H56" s="102">
        <f>-SUM(H7:H8)+H44+H9+G56</f>
        <v>0</v>
      </c>
      <c r="I56" s="102">
        <f>-SUM(I7:I8)+I44+I9+H56</f>
        <v>0</v>
      </c>
    </row>
    <row r="57" spans="1:10" s="45" customFormat="1" ht="32.25" customHeight="1" x14ac:dyDescent="0.4">
      <c r="A57" s="70"/>
      <c r="B57" s="103" t="s">
        <v>65</v>
      </c>
      <c r="C57" s="71"/>
      <c r="D57" s="102">
        <f t="shared" ref="D57:I57" si="31">IF(D13&lt;0,-D13,0)</f>
        <v>0</v>
      </c>
      <c r="E57" s="102">
        <f t="shared" si="31"/>
        <v>0</v>
      </c>
      <c r="F57" s="102">
        <f t="shared" si="31"/>
        <v>0</v>
      </c>
      <c r="G57" s="102">
        <f t="shared" si="31"/>
        <v>0</v>
      </c>
      <c r="H57" s="102">
        <f t="shared" si="31"/>
        <v>0</v>
      </c>
      <c r="I57" s="102">
        <f t="shared" si="31"/>
        <v>0</v>
      </c>
    </row>
    <row r="58" spans="1:10" s="45" customFormat="1" ht="32.25" customHeight="1" x14ac:dyDescent="0.4">
      <c r="A58" s="72"/>
      <c r="B58" s="103" t="s">
        <v>66</v>
      </c>
      <c r="C58" s="73"/>
      <c r="D58" s="102">
        <f>D65-D56-D57</f>
        <v>11498.718000000001</v>
      </c>
      <c r="E58" s="102">
        <f t="shared" ref="E58:I58" si="32">E65-E56-E57</f>
        <v>23217.210360000005</v>
      </c>
      <c r="F58" s="102">
        <f t="shared" si="32"/>
        <v>35170.072567200004</v>
      </c>
      <c r="G58" s="102">
        <f t="shared" si="32"/>
        <v>47361.992018543999</v>
      </c>
      <c r="H58" s="102">
        <f t="shared" si="32"/>
        <v>59797.749858914874</v>
      </c>
      <c r="I58" s="102">
        <f t="shared" si="32"/>
        <v>72482.222856093169</v>
      </c>
    </row>
    <row r="59" spans="1:10" s="36" customFormat="1" ht="32.25" customHeight="1" x14ac:dyDescent="0.3">
      <c r="A59" s="74"/>
      <c r="B59" s="38" t="s">
        <v>67</v>
      </c>
      <c r="C59" s="32"/>
      <c r="D59" s="39">
        <f t="shared" ref="D59:I59" si="33">SUM(D56:D58)</f>
        <v>11498.718000000001</v>
      </c>
      <c r="E59" s="39">
        <f t="shared" si="33"/>
        <v>23217.210360000005</v>
      </c>
      <c r="F59" s="39">
        <f t="shared" si="33"/>
        <v>35170.072567200004</v>
      </c>
      <c r="G59" s="39">
        <f t="shared" si="33"/>
        <v>47361.992018543999</v>
      </c>
      <c r="H59" s="39">
        <f t="shared" si="33"/>
        <v>59797.749858914874</v>
      </c>
      <c r="I59" s="39">
        <f t="shared" si="33"/>
        <v>72482.222856093169</v>
      </c>
    </row>
    <row r="60" spans="1:10" s="45" customFormat="1" ht="32.25" customHeight="1" x14ac:dyDescent="0.4">
      <c r="A60" s="70"/>
      <c r="B60" s="103" t="s">
        <v>68</v>
      </c>
      <c r="C60" s="71"/>
      <c r="D60" s="102">
        <f>D17</f>
        <v>10</v>
      </c>
      <c r="E60" s="102">
        <f>E17+D60</f>
        <v>10</v>
      </c>
      <c r="F60" s="102">
        <f>F17+E60</f>
        <v>10</v>
      </c>
      <c r="G60" s="102">
        <f>G17+F60</f>
        <v>10</v>
      </c>
      <c r="H60" s="102">
        <f>H17+G60</f>
        <v>10</v>
      </c>
      <c r="I60" s="102">
        <f>I17+H60</f>
        <v>10</v>
      </c>
    </row>
    <row r="61" spans="1:10" s="45" customFormat="1" ht="32.25" customHeight="1" x14ac:dyDescent="0.4">
      <c r="A61" s="70"/>
      <c r="B61" s="103" t="s">
        <v>69</v>
      </c>
      <c r="C61" s="71"/>
      <c r="D61" s="102">
        <f>D9</f>
        <v>0</v>
      </c>
      <c r="E61" s="102">
        <f>D61-E45</f>
        <v>0</v>
      </c>
      <c r="F61" s="102">
        <f t="shared" ref="F61:I61" si="34">E61-F45</f>
        <v>0</v>
      </c>
      <c r="G61" s="102">
        <f t="shared" si="34"/>
        <v>0</v>
      </c>
      <c r="H61" s="102">
        <f t="shared" si="34"/>
        <v>0</v>
      </c>
      <c r="I61" s="102">
        <f t="shared" si="34"/>
        <v>0</v>
      </c>
    </row>
    <row r="62" spans="1:10" s="45" customFormat="1" ht="32.25" customHeight="1" x14ac:dyDescent="0.4">
      <c r="A62" s="70"/>
      <c r="B62" s="103" t="s">
        <v>70</v>
      </c>
      <c r="C62" s="71"/>
      <c r="D62" s="102">
        <f>D51</f>
        <v>11488.718000000001</v>
      </c>
      <c r="E62" s="102">
        <f t="shared" ref="E62:I62" si="35">E51+D62</f>
        <v>23207.210360000005</v>
      </c>
      <c r="F62" s="102">
        <f t="shared" si="35"/>
        <v>35160.072567200004</v>
      </c>
      <c r="G62" s="102">
        <f t="shared" si="35"/>
        <v>47351.992018543999</v>
      </c>
      <c r="H62" s="102">
        <f t="shared" si="35"/>
        <v>59787.749858914874</v>
      </c>
      <c r="I62" s="102">
        <f t="shared" si="35"/>
        <v>72472.222856093169</v>
      </c>
    </row>
    <row r="63" spans="1:10" s="45" customFormat="1" ht="32.25" customHeight="1" x14ac:dyDescent="0.4">
      <c r="A63" s="75"/>
      <c r="B63" s="103" t="s">
        <v>71</v>
      </c>
      <c r="C63" s="76"/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</row>
    <row r="64" spans="1:10" s="45" customFormat="1" ht="32.25" customHeight="1" x14ac:dyDescent="0.4">
      <c r="A64" s="72"/>
      <c r="B64" s="103" t="s">
        <v>72</v>
      </c>
      <c r="C64" s="73"/>
      <c r="D64" s="102">
        <f t="shared" ref="D64:I64" si="36">D73</f>
        <v>0</v>
      </c>
      <c r="E64" s="102">
        <f t="shared" si="36"/>
        <v>0</v>
      </c>
      <c r="F64" s="102">
        <f t="shared" si="36"/>
        <v>0</v>
      </c>
      <c r="G64" s="102">
        <f t="shared" si="36"/>
        <v>0</v>
      </c>
      <c r="H64" s="102">
        <f t="shared" si="36"/>
        <v>0</v>
      </c>
      <c r="I64" s="102">
        <f t="shared" si="36"/>
        <v>0</v>
      </c>
    </row>
    <row r="65" spans="1:44" s="36" customFormat="1" ht="32.25" customHeight="1" x14ac:dyDescent="0.3">
      <c r="A65" s="74"/>
      <c r="B65" s="38" t="s">
        <v>73</v>
      </c>
      <c r="C65" s="32"/>
      <c r="D65" s="39">
        <f t="shared" ref="D65:I65" si="37">SUM(D60:D64)</f>
        <v>11498.718000000001</v>
      </c>
      <c r="E65" s="39">
        <f t="shared" si="37"/>
        <v>23217.210360000005</v>
      </c>
      <c r="F65" s="39">
        <f t="shared" si="37"/>
        <v>35170.072567200004</v>
      </c>
      <c r="G65" s="39">
        <f t="shared" si="37"/>
        <v>47361.992018543999</v>
      </c>
      <c r="H65" s="39">
        <f t="shared" si="37"/>
        <v>59797.749858914874</v>
      </c>
      <c r="I65" s="39">
        <f t="shared" si="37"/>
        <v>72482.222856093169</v>
      </c>
    </row>
    <row r="66" spans="1:44" ht="32.25" hidden="1" customHeight="1" x14ac:dyDescent="0.3">
      <c r="A66" s="66"/>
      <c r="B66" s="67"/>
      <c r="C66" s="66"/>
      <c r="D66" s="68"/>
      <c r="E66" s="68"/>
      <c r="F66" s="68"/>
      <c r="G66" s="68"/>
      <c r="H66" s="69"/>
      <c r="I66" s="69"/>
      <c r="J66" s="53"/>
    </row>
    <row r="67" spans="1:44" ht="45.75" hidden="1" customHeight="1" collapsed="1" x14ac:dyDescent="0.3">
      <c r="A67" s="32" t="s">
        <v>8</v>
      </c>
      <c r="B67" s="31" t="s">
        <v>74</v>
      </c>
      <c r="C67" s="32" t="s">
        <v>75</v>
      </c>
      <c r="D67" s="33">
        <v>1</v>
      </c>
      <c r="E67" s="33">
        <v>2</v>
      </c>
      <c r="F67" s="33">
        <v>3</v>
      </c>
      <c r="G67" s="33">
        <v>4</v>
      </c>
      <c r="H67" s="33">
        <v>5</v>
      </c>
      <c r="I67" s="33">
        <v>6</v>
      </c>
    </row>
    <row r="68" spans="1:44" s="40" customFormat="1" ht="32.25" hidden="1" customHeight="1" x14ac:dyDescent="0.3">
      <c r="A68" s="77"/>
      <c r="B68" s="78" t="s">
        <v>76</v>
      </c>
      <c r="C68" s="102">
        <f>C19</f>
        <v>0</v>
      </c>
      <c r="D68" s="102"/>
      <c r="E68" s="102">
        <f>PMT($C$72,$C$71,-$C$68)</f>
        <v>0</v>
      </c>
      <c r="F68" s="102">
        <f>PMT($C$72,$C$71,-$C$68)</f>
        <v>0</v>
      </c>
      <c r="G68" s="102">
        <f>PMT($C$72,$C$71,-$C$68)</f>
        <v>0</v>
      </c>
      <c r="H68" s="102">
        <f>PMT($C$72,$C$71,-$C$68)</f>
        <v>0</v>
      </c>
      <c r="I68" s="102">
        <f>PMT($C$72,$C$71,-$C$68)</f>
        <v>0</v>
      </c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</row>
    <row r="69" spans="1:44" s="40" customFormat="1" ht="32.25" hidden="1" customHeight="1" x14ac:dyDescent="0.3">
      <c r="A69" s="79"/>
      <c r="B69" s="80" t="s">
        <v>77</v>
      </c>
      <c r="C69" s="102"/>
      <c r="D69" s="102">
        <f t="shared" ref="D69:I69" si="38">D19</f>
        <v>0</v>
      </c>
      <c r="E69" s="102">
        <f t="shared" si="38"/>
        <v>0</v>
      </c>
      <c r="F69" s="102">
        <f t="shared" si="38"/>
        <v>0</v>
      </c>
      <c r="G69" s="102">
        <f t="shared" si="38"/>
        <v>0</v>
      </c>
      <c r="H69" s="102">
        <f t="shared" si="38"/>
        <v>0</v>
      </c>
      <c r="I69" s="102">
        <f t="shared" si="38"/>
        <v>0</v>
      </c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</row>
    <row r="70" spans="1:44" s="40" customFormat="1" ht="32.25" hidden="1" customHeight="1" x14ac:dyDescent="0.3">
      <c r="A70" s="81"/>
      <c r="B70" s="35" t="s">
        <v>78</v>
      </c>
      <c r="C70" s="110"/>
      <c r="D70" s="102">
        <f>D69</f>
        <v>0</v>
      </c>
      <c r="E70" s="102">
        <f t="shared" ref="E70:I70" si="39">D73+E69</f>
        <v>0</v>
      </c>
      <c r="F70" s="102">
        <f t="shared" si="39"/>
        <v>0</v>
      </c>
      <c r="G70" s="102">
        <f t="shared" si="39"/>
        <v>0</v>
      </c>
      <c r="H70" s="102">
        <f t="shared" si="39"/>
        <v>0</v>
      </c>
      <c r="I70" s="102">
        <f t="shared" si="39"/>
        <v>0</v>
      </c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</row>
    <row r="71" spans="1:44" s="40" customFormat="1" ht="32.25" hidden="1" customHeight="1" x14ac:dyDescent="0.3">
      <c r="A71" s="82"/>
      <c r="B71" s="83" t="s">
        <v>79</v>
      </c>
      <c r="C71" s="102">
        <v>8</v>
      </c>
      <c r="D71" s="102"/>
      <c r="E71" s="102">
        <f>+E68-E72</f>
        <v>0</v>
      </c>
      <c r="F71" s="102">
        <f>+F68-F72</f>
        <v>0</v>
      </c>
      <c r="G71" s="102">
        <f t="shared" ref="G71:I71" si="40">+G68-G72</f>
        <v>0</v>
      </c>
      <c r="H71" s="102">
        <f t="shared" si="40"/>
        <v>0</v>
      </c>
      <c r="I71" s="102">
        <f t="shared" si="40"/>
        <v>0</v>
      </c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</row>
    <row r="72" spans="1:44" s="40" customFormat="1" ht="32.25" hidden="1" customHeight="1" x14ac:dyDescent="0.3">
      <c r="A72" s="84"/>
      <c r="B72" s="83" t="s">
        <v>80</v>
      </c>
      <c r="C72" s="102">
        <v>5.1999999999999998E-2</v>
      </c>
      <c r="D72" s="102">
        <f t="shared" ref="D72:I72" si="41">+D70*$C72</f>
        <v>0</v>
      </c>
      <c r="E72" s="102">
        <f t="shared" si="41"/>
        <v>0</v>
      </c>
      <c r="F72" s="102">
        <f t="shared" si="41"/>
        <v>0</v>
      </c>
      <c r="G72" s="102">
        <f t="shared" si="41"/>
        <v>0</v>
      </c>
      <c r="H72" s="102">
        <f t="shared" si="41"/>
        <v>0</v>
      </c>
      <c r="I72" s="102">
        <f t="shared" si="41"/>
        <v>0</v>
      </c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</row>
    <row r="73" spans="1:44" s="40" customFormat="1" ht="32.25" hidden="1" customHeight="1" x14ac:dyDescent="0.3">
      <c r="A73" s="85"/>
      <c r="B73" s="86" t="s">
        <v>81</v>
      </c>
      <c r="C73" s="110"/>
      <c r="D73" s="102">
        <f>D70-D71</f>
        <v>0</v>
      </c>
      <c r="E73" s="102">
        <f>E70-E71</f>
        <v>0</v>
      </c>
      <c r="F73" s="102">
        <f t="shared" ref="F73:I73" si="42">F70-F71</f>
        <v>0</v>
      </c>
      <c r="G73" s="102">
        <f t="shared" si="42"/>
        <v>0</v>
      </c>
      <c r="H73" s="102">
        <f t="shared" si="42"/>
        <v>0</v>
      </c>
      <c r="I73" s="102">
        <f t="shared" si="42"/>
        <v>0</v>
      </c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</row>
    <row r="74" spans="1:44" ht="18" hidden="1" customHeight="1" x14ac:dyDescent="0.3">
      <c r="A74" s="87"/>
      <c r="B74" s="88"/>
      <c r="C74" s="87"/>
      <c r="D74" s="89"/>
      <c r="E74" s="89"/>
      <c r="F74" s="89"/>
      <c r="G74" s="52"/>
      <c r="H74" s="87"/>
      <c r="I74" s="52"/>
    </row>
    <row r="75" spans="1:44" ht="18" hidden="1" customHeight="1" x14ac:dyDescent="0.3"/>
    <row r="76" spans="1:44" ht="18" hidden="1" customHeight="1" x14ac:dyDescent="0.3"/>
    <row r="77" spans="1:44" ht="18" hidden="1" customHeight="1" x14ac:dyDescent="0.3"/>
    <row r="78" spans="1:44" ht="18" hidden="1" customHeight="1" x14ac:dyDescent="0.3"/>
  </sheetData>
  <sheetProtection algorithmName="SHA-512" hashValue="jISvaAs029Ni8Y1BBYo9oLuS9UV00ruk9efDyCM1MSAlH/wmzcNGsP0NwaFZKKDfi9Z0lW+7mmO+mtmmnjklnw==" saltValue="Jc7C9r0DEIXSNt/mZ1XvGg==" spinCount="100000" sheet="1" objects="1" scenarios="1"/>
  <conditionalFormatting sqref="D32:I32">
    <cfRule type="expression" dxfId="1" priority="6">
      <formula>D32&lt;0</formula>
    </cfRule>
    <cfRule type="expression" dxfId="0" priority="7">
      <formula>AND(C32&lt;0,D32&gt;=0)</formula>
    </cfRule>
  </conditionalFormatting>
  <pageMargins left="0.70866141732283472" right="0.70866141732283472" top="0.74803149606299213" bottom="0.74803149606299213" header="0.31496062992125984" footer="0.31496062992125984"/>
  <pageSetup paperSize="9" scale="47" fitToWidth="0" fitToHeight="0" pageOrder="overThenDown" orientation="landscape" horizontalDpi="200" verticalDpi="200" r:id="rId1"/>
  <headerFooter>
    <oddFooter>&amp;L&amp;1#</oddFooter>
  </headerFooter>
  <rowBreaks count="1" manualBreakCount="1">
    <brk id="36" max="8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7D7DF-D15E-465C-9195-F12CC0CEF8BA}">
  <dimension ref="A1:G17"/>
  <sheetViews>
    <sheetView workbookViewId="0">
      <selection activeCell="A6" sqref="A6:C6"/>
    </sheetView>
  </sheetViews>
  <sheetFormatPr defaultRowHeight="15.6" x14ac:dyDescent="0.3"/>
  <cols>
    <col min="1" max="1" width="22.796875" customWidth="1"/>
  </cols>
  <sheetData>
    <row r="1" spans="1:7" ht="55.8" customHeight="1" x14ac:dyDescent="0.3">
      <c r="A1" s="140" t="str">
        <f>Input!A1</f>
        <v>Procedura evidenza pubblica per affidamento in concessione di bene" - Gestione dell’Immobile denominato “EDICOLA” sito nel Comune di Vecchiano via Del Mare angolo via Del Balipedio Marina di Vecchiano per un periodo di 6 anni</v>
      </c>
      <c r="B1" s="141"/>
      <c r="C1" s="141"/>
      <c r="D1" s="141"/>
      <c r="E1" s="141"/>
      <c r="F1" s="141"/>
      <c r="G1" s="142"/>
    </row>
    <row r="2" spans="1:7" ht="28.2" customHeight="1" x14ac:dyDescent="0.3">
      <c r="A2" s="144" t="s">
        <v>90</v>
      </c>
      <c r="B2" s="144"/>
      <c r="C2" s="144"/>
      <c r="D2" s="143">
        <f>PEF_dettagliato!C43</f>
        <v>100936.24353216319</v>
      </c>
      <c r="E2" s="143"/>
      <c r="F2" s="143"/>
      <c r="G2" s="143"/>
    </row>
    <row r="3" spans="1:7" ht="28.2" customHeight="1" x14ac:dyDescent="0.3">
      <c r="A3" s="144" t="s">
        <v>91</v>
      </c>
      <c r="B3" s="144"/>
      <c r="C3" s="144"/>
      <c r="D3" s="143">
        <f>PEF_dettagliato!C53</f>
        <v>16822.707255360532</v>
      </c>
      <c r="E3" s="143"/>
      <c r="F3" s="143"/>
      <c r="G3" s="143"/>
    </row>
    <row r="4" spans="1:7" ht="28.2" customHeight="1" x14ac:dyDescent="0.3">
      <c r="A4" s="144" t="s">
        <v>99</v>
      </c>
      <c r="B4" s="144"/>
      <c r="C4" s="144"/>
      <c r="D4" s="143">
        <f>PEF_dettagliato!C46</f>
        <v>100936.24353216319</v>
      </c>
      <c r="E4" s="143"/>
      <c r="F4" s="143"/>
      <c r="G4" s="143"/>
    </row>
    <row r="5" spans="1:7" ht="28.2" customHeight="1" x14ac:dyDescent="0.3">
      <c r="A5" s="144" t="s">
        <v>100</v>
      </c>
      <c r="B5" s="144"/>
      <c r="C5" s="144"/>
      <c r="D5" s="143">
        <f>PEF_dettagliato!C46/Input!A2</f>
        <v>16822.707255360532</v>
      </c>
      <c r="E5" s="143"/>
      <c r="F5" s="143"/>
      <c r="G5" s="143"/>
    </row>
    <row r="6" spans="1:7" ht="28.2" customHeight="1" x14ac:dyDescent="0.3">
      <c r="A6" s="144" t="s">
        <v>92</v>
      </c>
      <c r="B6" s="144"/>
      <c r="C6" s="144"/>
      <c r="D6" s="143">
        <f>PEF_dettagliato!C51</f>
        <v>72472.222856093169</v>
      </c>
      <c r="E6" s="143"/>
      <c r="F6" s="143"/>
      <c r="G6" s="143"/>
    </row>
    <row r="7" spans="1:7" ht="28.2" customHeight="1" x14ac:dyDescent="0.3">
      <c r="A7" s="144" t="s">
        <v>93</v>
      </c>
      <c r="B7" s="144"/>
      <c r="C7" s="144"/>
      <c r="D7" s="143">
        <f>PEF_dettagliato!C52</f>
        <v>12078.703809348861</v>
      </c>
      <c r="E7" s="143"/>
      <c r="F7" s="143"/>
      <c r="G7" s="143"/>
    </row>
    <row r="8" spans="1:7" ht="28.2" customHeight="1" x14ac:dyDescent="0.3">
      <c r="A8" s="144" t="s">
        <v>94</v>
      </c>
      <c r="B8" s="144"/>
      <c r="C8" s="144"/>
      <c r="D8" s="143">
        <f>PEF_dettagliato!C34</f>
        <v>60406.376495301556</v>
      </c>
      <c r="E8" s="143"/>
      <c r="F8" s="143"/>
      <c r="G8" s="143"/>
    </row>
    <row r="9" spans="1:7" ht="28.2" customHeight="1" x14ac:dyDescent="0.3">
      <c r="A9" s="144" t="s">
        <v>95</v>
      </c>
      <c r="B9" s="144"/>
      <c r="C9" s="144"/>
      <c r="D9" s="143">
        <f>PEF_dettagliato!C35</f>
        <v>10067.729415883592</v>
      </c>
      <c r="E9" s="143"/>
      <c r="F9" s="143"/>
      <c r="G9" s="143"/>
    </row>
    <row r="17" spans="1:5" x14ac:dyDescent="0.3">
      <c r="A17" t="s">
        <v>97</v>
      </c>
      <c r="E17" t="s">
        <v>96</v>
      </c>
    </row>
  </sheetData>
  <mergeCells count="17">
    <mergeCell ref="D8:G8"/>
    <mergeCell ref="D9:G9"/>
    <mergeCell ref="A2:C2"/>
    <mergeCell ref="A3:C3"/>
    <mergeCell ref="A6:C6"/>
    <mergeCell ref="A7:C7"/>
    <mergeCell ref="A8:C8"/>
    <mergeCell ref="A9:C9"/>
    <mergeCell ref="A4:C4"/>
    <mergeCell ref="A5:C5"/>
    <mergeCell ref="D4:G4"/>
    <mergeCell ref="D5:G5"/>
    <mergeCell ref="A1:G1"/>
    <mergeCell ref="D2:G2"/>
    <mergeCell ref="D3:G3"/>
    <mergeCell ref="D6:G6"/>
    <mergeCell ref="D7:G7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Input</vt:lpstr>
      <vt:lpstr>PEF_dettagliato</vt:lpstr>
      <vt:lpstr>Output</vt:lpstr>
      <vt:lpstr>Input!Area_stampa</vt:lpstr>
      <vt:lpstr>PEF_dettagliato!Area_stampa</vt:lpstr>
      <vt:lpstr>Input!Titoli_stampa</vt:lpstr>
      <vt:lpstr>PEF_dettagliato!Titoli_stampa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Utente</dc:creator>
  <cp:keywords/>
  <dc:description/>
  <cp:lastModifiedBy>Utente</cp:lastModifiedBy>
  <cp:revision/>
  <cp:lastPrinted>2026-03-03T14:27:44Z</cp:lastPrinted>
  <dcterms:created xsi:type="dcterms:W3CDTF">2018-07-16T10:54:31Z</dcterms:created>
  <dcterms:modified xsi:type="dcterms:W3CDTF">2026-03-03T16:05:27Z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0x010100B7BD6A457D00DA4F80EB1F44E2514AD9</vt:lpwstr>
  </property>
  <property fmtid="{D5CDD505-2E9C-101B-9397-08002B2CF9AE}" pid="3" name="MediaServiceImageTags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